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tuhfltd.sharepoint.com/sites/Finance2/Shared Documents/Finance Reports/Reports for 2027 FY/Urban Ubomi 1/Investor Report/1. May 2026/Workings/"/>
    </mc:Choice>
  </mc:AlternateContent>
  <xr:revisionPtr revIDLastSave="4" documentId="8_{896B16E7-E9F6-454B-8FFB-525194F013A4}" xr6:coauthVersionLast="47" xr6:coauthVersionMax="47" xr10:uidLastSave="{44B2BCA2-AE3F-45E3-9317-C4B975045863}"/>
  <bookViews>
    <workbookView xWindow="28680" yWindow="-120" windowWidth="29040" windowHeight="15720" xr2:uid="{197D368A-9B7D-48B0-922B-06FC3102F2BB}"/>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_xlnm.Print_Area" localSheetId="1">'Servicer Report'!$B$2:$N$127</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175" i="2" l="1"/>
  <c r="G117" i="2"/>
  <c r="I115" i="2" s="1"/>
  <c r="K95" i="2"/>
  <c r="M90" i="2"/>
  <c r="G95" i="2"/>
  <c r="I92" i="2" s="1"/>
  <c r="G87" i="2"/>
  <c r="T108" i="1"/>
  <c r="L61" i="2"/>
  <c r="I57" i="2"/>
  <c r="L57" i="2"/>
  <c r="L66" i="2"/>
  <c r="L56" i="2" s="1"/>
  <c r="J47" i="2"/>
  <c r="T72" i="1"/>
  <c r="T82" i="1"/>
  <c r="J38" i="2"/>
  <c r="J33" i="2"/>
  <c r="T110" i="1"/>
  <c r="T92" i="1"/>
  <c r="J26" i="2"/>
  <c r="J11" i="2"/>
  <c r="K11" i="1" s="1"/>
  <c r="Q236" i="1"/>
  <c r="U229" i="1"/>
  <c r="Q228" i="1"/>
  <c r="U228" i="1" s="1"/>
  <c r="U225" i="1"/>
  <c r="Q224" i="1"/>
  <c r="U224" i="1" s="1"/>
  <c r="U223" i="1"/>
  <c r="L223" i="1"/>
  <c r="P221" i="1"/>
  <c r="Q215" i="1"/>
  <c r="Q218" i="1" s="1"/>
  <c r="T102" i="1" s="1"/>
  <c r="Q209" i="1"/>
  <c r="L179" i="1" s="1"/>
  <c r="T179" i="1" s="1"/>
  <c r="T62" i="1"/>
  <c r="T60" i="1" s="1"/>
  <c r="T200" i="1"/>
  <c r="T199" i="1"/>
  <c r="T198" i="1"/>
  <c r="T197" i="1"/>
  <c r="T194" i="1"/>
  <c r="T193" i="1"/>
  <c r="T192" i="1"/>
  <c r="T191" i="1"/>
  <c r="T190" i="1" s="1"/>
  <c r="L190" i="1"/>
  <c r="T189" i="1"/>
  <c r="T188" i="1"/>
  <c r="T186" i="1" s="1"/>
  <c r="T187" i="1"/>
  <c r="L186" i="1"/>
  <c r="T185" i="1"/>
  <c r="T184" i="1"/>
  <c r="T183" i="1"/>
  <c r="T182" i="1"/>
  <c r="T181" i="1"/>
  <c r="L181" i="1"/>
  <c r="T180" i="1"/>
  <c r="T178" i="1"/>
  <c r="T177" i="1"/>
  <c r="T176" i="1"/>
  <c r="T174" i="1"/>
  <c r="T171" i="1"/>
  <c r="T170" i="1"/>
  <c r="T169" i="1"/>
  <c r="T163" i="1"/>
  <c r="T162" i="1"/>
  <c r="T161" i="1"/>
  <c r="T160" i="1"/>
  <c r="T159" i="1"/>
  <c r="T157" i="1"/>
  <c r="T156" i="1"/>
  <c r="T154" i="1"/>
  <c r="T153" i="1"/>
  <c r="T152" i="1" s="1"/>
  <c r="T151" i="1"/>
  <c r="T94" i="1"/>
  <c r="T83" i="1"/>
  <c r="T80" i="1"/>
  <c r="T76" i="1"/>
  <c r="T73" i="1"/>
  <c r="T67" i="1"/>
  <c r="T64" i="1"/>
  <c r="G51" i="1"/>
  <c r="H50" i="1"/>
  <c r="H51" i="1" s="1"/>
  <c r="W44" i="1"/>
  <c r="V44" i="1"/>
  <c r="U44" i="1"/>
  <c r="T44" i="1"/>
  <c r="S44" i="1"/>
  <c r="R44" i="1"/>
  <c r="Q44" i="1"/>
  <c r="O44" i="1"/>
  <c r="N44" i="1"/>
  <c r="M44" i="1"/>
  <c r="L44" i="1"/>
  <c r="K44" i="1"/>
  <c r="J44" i="1"/>
  <c r="I44" i="1"/>
  <c r="H44" i="1"/>
  <c r="W42" i="1"/>
  <c r="V42" i="1"/>
  <c r="U42" i="1"/>
  <c r="T42" i="1"/>
  <c r="S42" i="1"/>
  <c r="R42" i="1"/>
  <c r="Q42" i="1"/>
  <c r="P42" i="1"/>
  <c r="O42" i="1"/>
  <c r="N42" i="1"/>
  <c r="M42" i="1"/>
  <c r="L42" i="1"/>
  <c r="P44" i="1"/>
  <c r="H38" i="1"/>
  <c r="K37" i="1"/>
  <c r="J38" i="1"/>
  <c r="I38" i="1"/>
  <c r="K36" i="1"/>
  <c r="J36" i="1"/>
  <c r="I36" i="1"/>
  <c r="H36" i="1"/>
  <c r="G36" i="1"/>
  <c r="W33" i="1"/>
  <c r="V33" i="1"/>
  <c r="U33" i="1"/>
  <c r="T33" i="1"/>
  <c r="S33" i="1"/>
  <c r="R33" i="1"/>
  <c r="Q33" i="1"/>
  <c r="P33" i="1"/>
  <c r="O33" i="1"/>
  <c r="N33" i="1"/>
  <c r="M33" i="1"/>
  <c r="L33" i="1"/>
  <c r="K33" i="1"/>
  <c r="W32" i="1"/>
  <c r="V32" i="1"/>
  <c r="U32" i="1"/>
  <c r="T32" i="1"/>
  <c r="S32" i="1"/>
  <c r="R32" i="1"/>
  <c r="Q32" i="1"/>
  <c r="P32" i="1"/>
  <c r="O32" i="1"/>
  <c r="N32" i="1"/>
  <c r="M32" i="1"/>
  <c r="L32" i="1"/>
  <c r="K32" i="1"/>
  <c r="W30" i="1"/>
  <c r="V30" i="1"/>
  <c r="U30" i="1"/>
  <c r="T30" i="1"/>
  <c r="S30" i="1"/>
  <c r="R30" i="1"/>
  <c r="Q30" i="1"/>
  <c r="P30" i="1"/>
  <c r="O30" i="1"/>
  <c r="M30" i="1"/>
  <c r="L30" i="1"/>
  <c r="J30" i="1"/>
  <c r="J40" i="1" s="1"/>
  <c r="I30" i="1"/>
  <c r="I40" i="1" s="1"/>
  <c r="H30" i="1"/>
  <c r="H40" i="1" s="1"/>
  <c r="G30" i="1"/>
  <c r="G40" i="1" s="1"/>
  <c r="K29" i="1"/>
  <c r="O223" i="1" s="1"/>
  <c r="W28" i="1"/>
  <c r="T28" i="1"/>
  <c r="R28" i="1"/>
  <c r="Q28" i="1"/>
  <c r="P28" i="1"/>
  <c r="M28" i="1"/>
  <c r="L28" i="1"/>
  <c r="K28" i="1"/>
  <c r="J28" i="1"/>
  <c r="I28" i="1"/>
  <c r="H28" i="1"/>
  <c r="G28" i="1"/>
  <c r="K18" i="1"/>
  <c r="K17" i="1"/>
  <c r="K13" i="1"/>
  <c r="K15" i="1" s="1"/>
  <c r="K16" i="1" s="1"/>
  <c r="K10" i="1"/>
  <c r="K9" i="1"/>
  <c r="S34" i="1" l="1"/>
  <c r="I50" i="1"/>
  <c r="I51" i="1" s="1"/>
  <c r="T155" i="1"/>
  <c r="K12" i="1"/>
  <c r="Q34" i="1"/>
  <c r="Q231" i="1"/>
  <c r="P34" i="1"/>
  <c r="I103" i="2"/>
  <c r="I100" i="2"/>
  <c r="I106" i="2"/>
  <c r="I109" i="2"/>
  <c r="K30" i="1"/>
  <c r="J12" i="2"/>
  <c r="I112" i="2"/>
  <c r="Q232" i="1"/>
  <c r="L196" i="1" s="1"/>
  <c r="I86" i="2"/>
  <c r="I83" i="2"/>
  <c r="I85" i="2"/>
  <c r="I82" i="2"/>
  <c r="I87" i="2" s="1"/>
  <c r="M92" i="2"/>
  <c r="I84" i="2"/>
  <c r="I123" i="2"/>
  <c r="M84" i="2"/>
  <c r="M93" i="2"/>
  <c r="M102" i="2"/>
  <c r="M108" i="2"/>
  <c r="M114" i="2"/>
  <c r="M94" i="2"/>
  <c r="I41" i="1"/>
  <c r="L167" i="1"/>
  <c r="T167" i="1" s="1"/>
  <c r="I42" i="1"/>
  <c r="T59" i="1"/>
  <c r="T100" i="1"/>
  <c r="L168" i="1"/>
  <c r="T168" i="1" s="1"/>
  <c r="J41" i="1"/>
  <c r="J42" i="1" s="1"/>
  <c r="M98" i="2"/>
  <c r="M104" i="2"/>
  <c r="T81" i="1"/>
  <c r="T79" i="1" s="1"/>
  <c r="J45" i="2"/>
  <c r="M113" i="2"/>
  <c r="G41" i="1"/>
  <c r="G42" i="1" s="1"/>
  <c r="L165" i="1"/>
  <c r="L166" i="1"/>
  <c r="T166" i="1" s="1"/>
  <c r="H41" i="1"/>
  <c r="H42" i="1" s="1"/>
  <c r="I114" i="2"/>
  <c r="I111" i="2"/>
  <c r="I108" i="2"/>
  <c r="I105" i="2"/>
  <c r="I102" i="2"/>
  <c r="I99" i="2"/>
  <c r="I116" i="2"/>
  <c r="I113" i="2"/>
  <c r="I110" i="2"/>
  <c r="I107" i="2"/>
  <c r="I104" i="2"/>
  <c r="I101" i="2"/>
  <c r="I98" i="2"/>
  <c r="K40" i="1"/>
  <c r="T158" i="1"/>
  <c r="I94" i="2"/>
  <c r="L71" i="2" s="1"/>
  <c r="I91" i="2"/>
  <c r="I93" i="2"/>
  <c r="I90" i="2"/>
  <c r="I95" i="2" s="1"/>
  <c r="I120" i="2"/>
  <c r="K87" i="2"/>
  <c r="M85" i="2" s="1"/>
  <c r="N34" i="1"/>
  <c r="K38" i="1"/>
  <c r="O34" i="1"/>
  <c r="R34" i="1"/>
  <c r="L158" i="1"/>
  <c r="K117" i="2"/>
  <c r="M99" i="2" s="1"/>
  <c r="T34" i="1"/>
  <c r="L172" i="1"/>
  <c r="T172" i="1" s="1"/>
  <c r="M91" i="2"/>
  <c r="M95" i="2" s="1"/>
  <c r="U34" i="1"/>
  <c r="T71" i="1"/>
  <c r="L155" i="1"/>
  <c r="G126" i="2"/>
  <c r="V34" i="1"/>
  <c r="G38" i="1"/>
  <c r="T91" i="1"/>
  <c r="T90" i="1" s="1"/>
  <c r="T87" i="1" s="1"/>
  <c r="Q207" i="1"/>
  <c r="J29" i="2"/>
  <c r="K126" i="2"/>
  <c r="M123" i="2" s="1"/>
  <c r="L34" i="1"/>
  <c r="T103" i="1"/>
  <c r="L152" i="1"/>
  <c r="K34" i="1"/>
  <c r="W34" i="1"/>
  <c r="M34" i="1"/>
  <c r="I61" i="2"/>
  <c r="I56" i="2" s="1"/>
  <c r="J50" i="1" l="1"/>
  <c r="J51" i="1" s="1"/>
  <c r="M100" i="2"/>
  <c r="M115" i="2"/>
  <c r="M125" i="2"/>
  <c r="M83" i="2"/>
  <c r="M116" i="2"/>
  <c r="M112" i="2"/>
  <c r="M106" i="2"/>
  <c r="M110" i="2"/>
  <c r="I117" i="2"/>
  <c r="K41" i="1"/>
  <c r="K42" i="1" s="1"/>
  <c r="M121" i="2"/>
  <c r="M86" i="2"/>
  <c r="M124" i="2"/>
  <c r="M82" i="2"/>
  <c r="M87" i="2" s="1"/>
  <c r="M109" i="2"/>
  <c r="I125" i="2"/>
  <c r="I122" i="2"/>
  <c r="I124" i="2"/>
  <c r="I121" i="2"/>
  <c r="I126" i="2" s="1"/>
  <c r="T165" i="1"/>
  <c r="T164" i="1" s="1"/>
  <c r="L164" i="1"/>
  <c r="L195" i="1"/>
  <c r="T196" i="1"/>
  <c r="M103" i="2"/>
  <c r="M122" i="2"/>
  <c r="M120" i="2"/>
  <c r="T70" i="1"/>
  <c r="T101" i="1" s="1"/>
  <c r="T99" i="1" s="1"/>
  <c r="T107" i="1"/>
  <c r="T106" i="1" s="1"/>
  <c r="M101" i="2"/>
  <c r="M111" i="2"/>
  <c r="M107" i="2"/>
  <c r="M105" i="2"/>
  <c r="M117" i="2" s="1"/>
  <c r="P151" i="1" l="1"/>
  <c r="L175" i="1"/>
  <c r="T115" i="1"/>
  <c r="M126" i="2"/>
  <c r="Q234" i="1"/>
  <c r="Q235" i="1" s="1"/>
  <c r="Q238" i="1" s="1"/>
  <c r="T195" i="1"/>
  <c r="G43" i="1" l="1"/>
  <c r="G44" i="1" s="1"/>
  <c r="T175" i="1"/>
  <c r="T173" i="1" s="1"/>
  <c r="P201" i="1"/>
  <c r="P152" i="1"/>
  <c r="P153" i="1" l="1"/>
  <c r="P154" i="1"/>
  <c r="P155" i="1"/>
  <c r="T201" i="1"/>
  <c r="H45" i="1"/>
  <c r="G45" i="1"/>
  <c r="K19" i="1"/>
  <c r="I45" i="1"/>
  <c r="J45" i="1"/>
  <c r="J47" i="1" l="1"/>
  <c r="I47" i="1"/>
  <c r="H47" i="1"/>
  <c r="G47" i="1"/>
  <c r="P157" i="1"/>
  <c r="P158" i="1"/>
  <c r="P156" i="1"/>
  <c r="P161" i="1" l="1"/>
  <c r="P162" i="1"/>
  <c r="P163" i="1" s="1"/>
  <c r="P164" i="1" s="1"/>
  <c r="P160" i="1"/>
  <c r="P159" i="1"/>
  <c r="P166" i="1" l="1"/>
  <c r="P167" i="1" s="1"/>
  <c r="P168" i="1" s="1"/>
  <c r="P169" i="1" s="1"/>
  <c r="P170" i="1" s="1"/>
  <c r="P165" i="1"/>
  <c r="T116" i="1" l="1"/>
  <c r="T117" i="1" s="1"/>
  <c r="P171" i="1"/>
  <c r="P172" i="1" s="1"/>
  <c r="P173" i="1" s="1"/>
  <c r="P179" i="1" s="1"/>
  <c r="P180" i="1" s="1"/>
  <c r="P181" i="1" s="1"/>
  <c r="P184" i="1" l="1"/>
  <c r="P185" i="1" s="1"/>
  <c r="P183" i="1"/>
  <c r="P182" i="1"/>
  <c r="P189" i="1" l="1"/>
  <c r="P190" i="1" s="1"/>
  <c r="P186" i="1"/>
  <c r="P188" i="1" l="1"/>
  <c r="P187" i="1"/>
  <c r="P191" i="1"/>
  <c r="P192" i="1"/>
  <c r="P193" i="1" s="1"/>
  <c r="P194" i="1" s="1"/>
  <c r="P195" i="1" s="1"/>
  <c r="P199" i="1" l="1"/>
  <c r="P200" i="1" s="1"/>
  <c r="P196" i="1"/>
  <c r="P197" i="1" s="1"/>
  <c r="P198" i="1"/>
  <c r="L201" i="2" l="1"/>
  <c r="L173" i="2"/>
  <c r="P176" i="1"/>
  <c r="P174" i="1"/>
  <c r="L201" i="1"/>
  <c r="P175" i="1"/>
  <c r="P178" i="1"/>
  <c r="L173" i="1"/>
  <c r="P17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tc={5C804BE1-D234-49B6-9BE1-196188D15613}</author>
    <author>tc={126F97A9-96DF-44EA-9D66-F9C2B6F529A4}</author>
    <author>tc={25645B1C-B9EF-47CC-BE3D-3ED3CC1AC97B}</author>
    <author>tc={570F4AF8-BF81-48F9-BC3E-66B440FAE782}</author>
    <author>tc={F959BFCA-D958-4BF9-AAAC-161A4B3CA723}</author>
    <author>tc={FC5AEB42-CB38-47EC-AC3E-A6ED082C62C4}</author>
    <author>tc={0A9A38C0-A9D1-417F-A21A-67BB9E642A11}</author>
    <author>tc={616C6A72-DF00-4E36-884F-08128D2492E9}</author>
    <author>tc={17FDCF14-7403-4432-B6D3-55C1C48FADEB}</author>
    <author>tc={0AB11505-8D0D-471C-918E-1BB9359171C5}</author>
    <author>tc={39279436-7C29-4898-BE56-5C71A265B8B5}</author>
    <author>tc={EF4F2F18-4797-4CE6-A358-337D349737F6}</author>
    <author>tc={8927D22D-2975-47CE-8A51-A25BEFD41F8E}</author>
    <author>tc={C72B0A95-1FC5-4BD7-861E-13E7FBA7FE97}</author>
    <author>tc={09C0D1A0-262C-4608-BBC8-5721F17B23CC}</author>
    <author>tc={2AEAEAF3-B8B6-4BD6-835A-E21430AAB064}</author>
    <author>tc={0EF40F7A-2F3A-4EFD-99BC-62FC39CBFC3C}</author>
    <author>tc={3DDF8A84-4176-43BE-AD20-0BB66187862A}</author>
    <author>tc={09F1C7AB-0830-4B53-B5A0-C2738F945BDD}</author>
    <author>tc={CBA671A3-4803-4DD2-885E-21DEE3436D58}</author>
    <author>tc={88E9D816-4729-48BC-80A1-FF046F40F398}</author>
    <author>tc={E54D0A94-FAD0-4731-91E3-CE3AB0280138}</author>
    <author>tc={36B872F4-CC41-4200-93D9-A3E3A6F56636}</author>
    <author>tc={14741C27-F44A-48E1-A90E-6388C279ADD5}</author>
    <author>tc={E7116A0A-A80A-4F85-91B5-1BAC89586D77}</author>
    <author>tc={E3101B30-92CB-4DB2-BF56-A73EBA3FEDDA}</author>
    <author>tc={7B70E952-624B-4FC2-A10F-917A0F71A5B0}</author>
    <author>tc={1EA77523-9A8E-46C5-8013-BB037674D0D4}</author>
    <author>tc={FC92E2FC-A786-490A-8EE9-1EEDA42AD262}</author>
    <author>tc={113F9E62-C99C-4602-98A8-671F3CC6D4BD}</author>
  </authors>
  <commentList>
    <comment ref="C8" authorId="0" shapeId="0" xr:uid="{5C804BE1-D234-49B6-9BE1-196188D15613}">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126F97A9-96DF-44EA-9D66-F9C2B6F529A4}">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25645B1C-B9EF-47CC-BE3D-3ED3CC1AC97B}">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71" authorId="3" shapeId="0" xr:uid="{570F4AF8-BF81-48F9-BC3E-66B440FAE782}">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72" authorId="4" shapeId="0" xr:uid="{F959BFCA-D958-4BF9-AAAC-161A4B3CA723}">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6" authorId="5" shapeId="0" xr:uid="{FC5AEB42-CB38-47EC-AC3E-A6ED082C62C4}">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7" authorId="6" shapeId="0" xr:uid="{0A9A38C0-A9D1-417F-A21A-67BB9E642A11}">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6" authorId="7" shapeId="0" xr:uid="{616C6A72-DF00-4E36-884F-08128D2492E9}">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7" authorId="8" shapeId="0" xr:uid="{17FDCF14-7403-4432-B6D3-55C1C48FADEB}">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21" authorId="9" shapeId="0" xr:uid="{0AB11505-8D0D-471C-918E-1BB9359171C5}">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22" authorId="10" shapeId="0" xr:uid="{39279436-7C29-4898-BE56-5C71A265B8B5}">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8" authorId="11" shapeId="0" xr:uid="{EF4F2F18-4797-4CE6-A358-337D349737F6}">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7" authorId="12" shapeId="0" xr:uid="{8927D22D-2975-47CE-8A51-A25BEFD41F8E}">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46" authorId="13" shapeId="0" xr:uid="{C72B0A95-1FC5-4BD7-861E-13E7FBA7FE97}">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47" authorId="14" shapeId="0" xr:uid="{09C0D1A0-262C-4608-BBC8-5721F17B23CC}">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51" authorId="15" shapeId="0" xr:uid="{2AEAEAF3-B8B6-4BD6-835A-E21430AAB064}">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52" authorId="16" shapeId="0" xr:uid="{0EF40F7A-2F3A-4EFD-99BC-62FC39CBFC3C}">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55" authorId="17" shapeId="0" xr:uid="{3DDF8A84-4176-43BE-AD20-0BB66187862A}">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58" authorId="18" shapeId="0" xr:uid="{09F1C7AB-0830-4B53-B5A0-C2738F945BDD}">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62" authorId="19" shapeId="0" xr:uid="{CBA671A3-4803-4DD2-885E-21DEE3436D58}">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63" authorId="20" shapeId="0" xr:uid="{88E9D816-4729-48BC-80A1-FF046F40F398}">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64" authorId="21" shapeId="0" xr:uid="{E54D0A94-FAD0-4731-91E3-CE3AB0280138}">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66" authorId="22" shapeId="0" xr:uid="{36B872F4-CC41-4200-93D9-A3E3A6F56636}">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67" authorId="23" shapeId="0" xr:uid="{14741C27-F44A-48E1-A90E-6388C279ADD5}">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68" authorId="24" shapeId="0" xr:uid="{E7116A0A-A80A-4F85-91B5-1BAC89586D77}">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69" authorId="25" shapeId="0" xr:uid="{E3101B30-92CB-4DB2-BF56-A73EBA3FEDDA}">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70" authorId="26" shapeId="0" xr:uid="{7B70E952-624B-4FC2-A10F-917A0F71A5B0}">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71" authorId="27" shapeId="0" xr:uid="{1EA77523-9A8E-46C5-8013-BB037674D0D4}">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72" authorId="28" shapeId="0" xr:uid="{FC92E2FC-A786-490A-8EE9-1EEDA42AD262}">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73" authorId="29" shapeId="0" xr:uid="{113F9E62-C99C-4602-98A8-671F3CC6D4BD}">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List>
</comments>
</file>

<file path=xl/sharedStrings.xml><?xml version="1.0" encoding="utf-8"?>
<sst xmlns="http://schemas.openxmlformats.org/spreadsheetml/2006/main" count="581" uniqueCount="379">
  <si>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</si>
  <si>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</si>
  <si>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</si>
  <si>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</si>
  <si>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</si>
  <si>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</si>
  <si>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</si>
  <si>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</si>
  <si>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</si>
  <si>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</si>
  <si>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</si>
  <si>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</si>
  <si>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</si>
  <si>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</si>
  <si>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</si>
  <si>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</si>
  <si>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</si>
  <si>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Note Breakdown</t>
  </si>
  <si>
    <t xml:space="preserve">Class </t>
  </si>
  <si>
    <t>Class A2</t>
  </si>
  <si>
    <t>Class B</t>
  </si>
  <si>
    <t>Class C</t>
  </si>
  <si>
    <t>Class D</t>
  </si>
  <si>
    <t>Class A5</t>
  </si>
  <si>
    <t>Class A8</t>
  </si>
  <si>
    <t>Class A9</t>
  </si>
  <si>
    <t>Class A11</t>
  </si>
  <si>
    <t>Class A13</t>
  </si>
  <si>
    <t>ISIN Code</t>
  </si>
  <si>
    <t>ZAG000223405</t>
  </si>
  <si>
    <t>ZAG000223389</t>
  </si>
  <si>
    <t>ZAG000223371</t>
  </si>
  <si>
    <t>ZAG000223363</t>
  </si>
  <si>
    <t>ZAG000175019</t>
  </si>
  <si>
    <t>ZAG000183542</t>
  </si>
  <si>
    <t>ZAG000192006</t>
  </si>
  <si>
    <t>ZAG000192014</t>
  </si>
  <si>
    <t>ZAG000195645</t>
  </si>
  <si>
    <t>ZAG000204702</t>
  </si>
  <si>
    <t>ZAG000175035</t>
  </si>
  <si>
    <t>ZAG000183591</t>
  </si>
  <si>
    <t>ZAG000195652</t>
  </si>
  <si>
    <t>ZAG000175043</t>
  </si>
  <si>
    <t>ZAG000183609</t>
  </si>
  <si>
    <t>ZAG000195611</t>
  </si>
  <si>
    <t>ZAG000191909</t>
  </si>
  <si>
    <t>JSE Listing Code</t>
  </si>
  <si>
    <t>UU1A14</t>
  </si>
  <si>
    <t>UU1B05</t>
  </si>
  <si>
    <t>UU1C05</t>
  </si>
  <si>
    <t>UU1D01</t>
  </si>
  <si>
    <t>UU1A02</t>
  </si>
  <si>
    <t>UU1A05</t>
  </si>
  <si>
    <t>UU1A08</t>
  </si>
  <si>
    <t>UU1A09</t>
  </si>
  <si>
    <t>UU1A11</t>
  </si>
  <si>
    <t>UU1A13</t>
  </si>
  <si>
    <t>UU1B01</t>
  </si>
  <si>
    <t>UU1B02</t>
  </si>
  <si>
    <t>UU1B04</t>
  </si>
  <si>
    <t>UU1C01</t>
  </si>
  <si>
    <t>UU1C02</t>
  </si>
  <si>
    <t>UU1C04</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</si>
  <si>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</si>
  <si>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</si>
  <si>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</si>
  <si>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</si>
  <si>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</si>
  <si>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</si>
  <si>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</si>
  <si>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</si>
  <si>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</si>
  <si>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</si>
  <si>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</si>
  <si>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</si>
  <si>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 (Latest)</t>
  </si>
  <si>
    <t>Outstanding Principal Amount following Refinancing Date</t>
  </si>
  <si>
    <t>% of Notes at Refinance Date</t>
  </si>
  <si>
    <t>% of Assets at Refinance Date</t>
  </si>
  <si>
    <t>Total CE as % of Assets at Refinance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</si>
  <si>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</si>
  <si>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</si>
  <si>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</si>
  <si>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</si>
  <si>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</si>
  <si>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</si>
  <si>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</si>
  <si>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</si>
  <si>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</si>
  <si>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</si>
  <si>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</si>
  <si>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</si>
  <si>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</si>
  <si>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</si>
  <si>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A+(za)(sf)</t>
  </si>
  <si>
    <t>BBB+(za)(sf)</t>
  </si>
  <si>
    <t>Unrated</t>
  </si>
  <si>
    <t>AA+(za)(sf)</t>
  </si>
  <si>
    <t>AAA(za)(sf)</t>
  </si>
  <si>
    <t>BBB(za)(sf)</t>
  </si>
  <si>
    <t>Rating on IPD</t>
  </si>
  <si>
    <t>Withdrawn (Paid in full)</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</si>
  <si>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</si>
  <si>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</si>
  <si>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</si>
  <si>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</si>
  <si>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</si>
  <si>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</si>
  <si>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</si>
  <si>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</si>
  <si>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</si>
  <si>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</si>
  <si>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</si>
  <si>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</si>
  <si>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</si>
  <si>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</si>
  <si>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</si>
  <si>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</si>
  <si>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</si>
  <si>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</si>
  <si>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</si>
  <si>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</si>
  <si>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</si>
  <si>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</si>
  <si>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</si>
  <si>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</si>
  <si>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</si>
  <si>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</si>
  <si>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</si>
  <si>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</si>
  <si>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</si>
  <si>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</si>
  <si>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</si>
  <si>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</si>
  <si>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</si>
  <si>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</si>
  <si>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</si>
  <si>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</si>
  <si>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</si>
  <si>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</si>
  <si>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</si>
  <si>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</si>
  <si>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</si>
  <si>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</si>
  <si>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</si>
  <si>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</si>
  <si>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</si>
  <si>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</si>
  <si>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</si>
  <si>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</si>
  <si>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</si>
  <si>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</si>
  <si>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</si>
  <si>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</si>
  <si>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</si>
  <si>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</si>
  <si>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</si>
  <si>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</si>
  <si>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</si>
  <si>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</si>
  <si>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</si>
  <si>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</si>
  <si>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</si>
  <si>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</si>
  <si>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</si>
  <si>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</si>
  <si>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</si>
  <si>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</si>
  <si>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</si>
  <si>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</si>
  <si>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</si>
  <si>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</si>
  <si>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</si>
  <si>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</si>
  <si>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</si>
  <si>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 Class C and Class D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</si>
  <si>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</si>
  <si>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</si>
  <si>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</si>
  <si>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Class C and Class D less than 2 times of single Borrower (Y/N) </t>
  </si>
  <si>
    <t>Arrears Reserve not funded to Arrears Reserve Required Amount on immediately preceding IPD (Y/N)</t>
  </si>
  <si>
    <t>Class B Principal Lock-Out on IPD (Y/N)</t>
  </si>
  <si>
    <t>Class B Notes Outstanding (Y/N) and</t>
  </si>
  <si>
    <t>Is Class C and Class D ratio &lt; 2x ratio as at latest Issue Date (Y/N); or</t>
  </si>
  <si>
    <t xml:space="preserve">Outstanding Principal Amount of Class C and Class D less than 2 times of single Borrower (Y/N) </t>
  </si>
  <si>
    <t>Class C Principal Lock-Out on IPD (Y/N)</t>
  </si>
  <si>
    <t>Class D Principal Lock-Out on IPD (Y/N)</t>
  </si>
  <si>
    <t xml:space="preserve">Pre-Enforcement Priority of Payments </t>
  </si>
  <si>
    <t>1.1 Tax</t>
  </si>
  <si>
    <t xml:space="preserve">Amount Due / Provided </t>
  </si>
  <si>
    <t>Cash Available 
(incl. Liquidity Facility if applicable)</t>
  </si>
  <si>
    <t>Amount Paid / Provided for</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</si>
  <si>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</si>
  <si>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</si>
  <si>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</si>
  <si>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</si>
  <si>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</si>
  <si>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</si>
  <si>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</si>
  <si>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</si>
  <si>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</si>
  <si>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</si>
  <si>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</si>
  <si>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</si>
  <si>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</si>
  <si>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1.7.1 Class A14</t>
  </si>
  <si>
    <t>1.8 Class B (other than principal) if no Class B IDE</t>
  </si>
  <si>
    <t>1.9 Class C (other than principal) if no Class C IDE</t>
  </si>
  <si>
    <t>1.10 Class D (other than principal) if no Class D IDE</t>
  </si>
  <si>
    <t>1.11 Liquidity Facility principal (not applicable)</t>
  </si>
  <si>
    <t xml:space="preserve">1.12 Redraws and Re-Advances </t>
  </si>
  <si>
    <t xml:space="preserve">1.13 Further Advances and Additional Assets </t>
  </si>
  <si>
    <t xml:space="preserve">1.14 Capital Reserve </t>
  </si>
  <si>
    <t xml:space="preserve">1.15 Redemption of Notes if Class A outstanding </t>
  </si>
  <si>
    <t xml:space="preserve">Class A Redemption Amount </t>
  </si>
  <si>
    <t>Class A2 (and/or equivalent notes)</t>
  </si>
  <si>
    <t>Class B Redemption Amount</t>
  </si>
  <si>
    <t>Class C Redemption Amount</t>
  </si>
  <si>
    <t>Class D Redemption Amount</t>
  </si>
  <si>
    <t>1.16 Arrears Reserve top up if Class A Outstanding</t>
  </si>
  <si>
    <t>1.17 Class B (other than principal) if Class B IDE</t>
  </si>
  <si>
    <t>1.18 Redemption of Notes if no Class A but Class B outstanding</t>
  </si>
  <si>
    <t>1.19 Arrears Reserve top up if no Class A Outstanding</t>
  </si>
  <si>
    <t>1.20 Class C (other than principal) if Class C IDE</t>
  </si>
  <si>
    <t>1.21 Redemption of Notes if no Class B but Class C outstanding</t>
  </si>
  <si>
    <t>1.22 Class D (other than principal) if Class D IDE</t>
  </si>
  <si>
    <t>1.23 Redemption of Notes if no Class C but Class D outstanding</t>
  </si>
  <si>
    <t xml:space="preserve">1.24 Derivative Termination Amounts </t>
  </si>
  <si>
    <t>1.25 Redemption of the Notes if after Latest Coupon Step-Up Date</t>
  </si>
  <si>
    <t>1.26 Subordinated Derivative net settlements and Derivative Termination Amounts</t>
  </si>
  <si>
    <t xml:space="preserve">1.27 Subordinated Loan </t>
  </si>
  <si>
    <t xml:space="preserve">Interest </t>
  </si>
  <si>
    <t>Deferred Interest</t>
  </si>
  <si>
    <t xml:space="preserve">Principal </t>
  </si>
  <si>
    <t>1.28 Dividend to Preference Shareholder</t>
  </si>
  <si>
    <t>1.29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</si>
  <si>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</si>
  <si>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</si>
  <si>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</si>
  <si>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</si>
  <si>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</si>
  <si>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</si>
  <si>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</si>
  <si>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</si>
  <si>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</si>
  <si>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</si>
  <si>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</si>
  <si>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</si>
  <si>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</si>
  <si>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</si>
  <si>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</si>
  <si>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</si>
  <si>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</si>
  <si>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</si>
  <si>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</si>
  <si>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</si>
  <si>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</si>
  <si>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</si>
  <si>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</si>
  <si>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</si>
  <si>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Advance 1</t>
  </si>
  <si>
    <t>Advance 2</t>
  </si>
  <si>
    <t>Advance 3</t>
  </si>
  <si>
    <t>Subordinated Loans Repayments during IP</t>
  </si>
  <si>
    <t>Repayment 1</t>
  </si>
  <si>
    <t>Repayment 2</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</si>
  <si>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</si>
  <si>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</si>
  <si>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</si>
  <si>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</si>
  <si>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</si>
  <si>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</si>
  <si>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</si>
  <si>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</si>
  <si>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</si>
  <si>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</si>
  <si>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</si>
  <si>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</si>
  <si>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</si>
  <si>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</si>
  <si>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</si>
  <si>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</si>
  <si>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</si>
  <si>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</si>
  <si>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</si>
  <si>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</si>
  <si>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</si>
  <si>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</si>
  <si>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</si>
  <si>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Tuhf Capital Services Pty Ltd</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</si>
  <si>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</si>
  <si>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</si>
  <si>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</si>
  <si>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</si>
  <si>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</si>
  <si>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</si>
  <si>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</si>
  <si>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</si>
  <si>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</si>
  <si>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</si>
  <si>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</si>
  <si>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</si>
  <si>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</si>
  <si>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</si>
  <si>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</si>
  <si>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</si>
  <si>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</si>
  <si>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</si>
  <si>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</si>
  <si>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</si>
  <si>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</si>
  <si>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</si>
  <si>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</si>
  <si>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</si>
  <si>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</si>
  <si>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</si>
  <si>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Portfolio Management</t>
  </si>
  <si>
    <t>Loans no longer eligible</t>
  </si>
  <si>
    <t>Performance related - Arrears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</si>
  <si>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</si>
  <si>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</si>
  <si>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</si>
  <si>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</si>
  <si>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</si>
  <si>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</si>
  <si>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</si>
  <si>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</si>
  <si>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</si>
  <si>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</si>
  <si>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</si>
  <si>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</si>
  <si>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</si>
  <si>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</si>
  <si>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</si>
  <si>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</si>
  <si>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</si>
  <si>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</si>
  <si>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</si>
  <si>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</si>
  <si>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</si>
  <si>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</si>
  <si>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</si>
  <si>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</si>
  <si>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</si>
  <si>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</si>
  <si>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</si>
  <si>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</si>
  <si>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</si>
  <si>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</si>
  <si>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</si>
  <si>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</si>
  <si>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</si>
  <si>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Province</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</si>
  <si>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</si>
  <si>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</si>
  <si>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</si>
  <si>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</si>
  <si>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</si>
  <si>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</si>
  <si>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</si>
  <si>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</si>
  <si>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</si>
  <si>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</si>
  <si>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</si>
  <si>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</si>
  <si>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</si>
  <si>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</si>
  <si>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</si>
  <si>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 xml:space="preserve">70% + </t>
  </si>
  <si>
    <t>Loan Commencement Date</t>
  </si>
  <si>
    <t>Current Participating Asset Margin Over Jibar</t>
  </si>
  <si>
    <t>0 - 1%</t>
  </si>
  <si>
    <t>1 - 2%</t>
  </si>
  <si>
    <t>2 - 3%</t>
  </si>
  <si>
    <t>3 - 4%</t>
  </si>
  <si>
    <t>4 - 5%</t>
  </si>
  <si>
    <t>5 - 6%</t>
  </si>
  <si>
    <t>A-(za)(sf)</t>
  </si>
  <si>
    <t>TUHF Capital Services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</si>
</sst>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00%"/>
    <numFmt numFmtId="166" formatCode="#,##0_);\(#,##0\);&quot;-  &quot;;&quot; &quot;@&quot; &quot;"/>
    <numFmt numFmtId="167" formatCode="_(* #,##0_);_(* \(#,##0\);_(* &quot;-&quot;??_);_(@_)"/>
  </numFmts>
  <fonts count="16">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i/>
      <sz val="11"/>
      <name val="Calibri"/>
      <family val="2"/>
      <scheme val="minor"/>
    </font>
    <font>
      <b/>
      <u/>
      <sz val="11"/>
      <color theme="1"/>
      <name val="Calibri"/>
      <family val="2"/>
      <scheme val="minor"/>
    </font>
    <font>
      <u/>
      <sz val="11"/>
      <color theme="1"/>
      <name val="Calibri (Body)"/>
    </font>
    <font>
      <b/>
      <i/>
      <sz val="11"/>
      <color theme="1"/>
      <name val="Calibri"/>
      <family val="2"/>
      <scheme val="minor"/>
    </font>
    <font>
      <b/>
      <sz val="11"/>
      <name val="Calibri"/>
      <family val="2"/>
      <scheme val="minor"/>
    </font>
    <font>
      <b/>
      <i/>
      <sz val="11"/>
      <name val="Calibri"/>
      <family val="2"/>
      <scheme val="minor"/>
    </font>
    <font>
      <i/>
      <sz val="11"/>
      <color rgb="FFFF0000"/>
      <name val="Calibri"/>
      <family val="2"/>
      <scheme val="minor"/>
    </font>
    <font>
      <sz val="11"/>
      <color theme="1"/>
      <name val="Calibri"/>
      <family val="2"/>
    </font>
    <font>
      <b/>
      <sz val="11"/>
      <color theme="1"/>
      <name val="Calibri"/>
      <family val="2"/>
    </font>
  </fonts>
  <fills count="10">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s>
  <borders count="54">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83">
    <xf numFmtId="0" fontId="0" fillId="0" borderId="0" xfId="0"/>
    <xf numFmtId="0" fontId="0" fillId="2" borderId="0" xfId="0" applyFill="1"/>
    <xf numFmtId="0" fontId="0" fillId="3" borderId="1" xfId="0" applyFill="1" applyBorder="1"/>
    <xf numFmtId="0" fontId="0" fillId="3" borderId="0" xfId="0" applyFill="1"/>
    <xf numFmtId="0" fontId="0" fillId="3" borderId="2" xfId="0" applyFill="1" applyBorder="1"/>
    <xf numFmtId="0" fontId="0" fillId="3" borderId="3" xfId="0" applyFill="1" applyBorder="1"/>
    <xf numFmtId="0" fontId="0" fillId="3" borderId="4" xfId="0" applyFill="1" applyBorder="1"/>
    <xf numFmtId="43" fontId="0" fillId="2" borderId="0" xfId="1" applyFont="1" applyFill="1"/>
    <xf numFmtId="0" fontId="0" fillId="3" borderId="5" xfId="0" applyFill="1" applyBorder="1"/>
    <xf numFmtId="43" fontId="0" fillId="2" borderId="0" xfId="0" applyNumberFormat="1" applyFill="1"/>
    <xf numFmtId="0" fontId="2" fillId="5" borderId="12" xfId="0" applyFont="1" applyFill="1" applyBorder="1"/>
    <xf numFmtId="0" fontId="2" fillId="5" borderId="13" xfId="0" applyFont="1" applyFill="1" applyBorder="1"/>
    <xf numFmtId="0" fontId="2" fillId="5" borderId="17" xfId="0" applyFont="1" applyFill="1" applyBorder="1"/>
    <xf numFmtId="0" fontId="2" fillId="5" borderId="18" xfId="0" applyFont="1" applyFill="1" applyBorder="1"/>
    <xf numFmtId="0" fontId="2" fillId="5" borderId="19" xfId="0" applyFont="1" applyFill="1" applyBorder="1"/>
    <xf numFmtId="0" fontId="2" fillId="5" borderId="19" xfId="0" applyFont="1" applyFill="1" applyBorder="1" applyAlignment="1">
      <alignment horizontal="left" vertical="center"/>
    </xf>
    <xf numFmtId="0" fontId="2" fillId="5" borderId="25" xfId="0" applyFont="1" applyFill="1" applyBorder="1"/>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27" xfId="0" applyFont="1" applyFill="1" applyBorder="1"/>
    <xf numFmtId="0" fontId="2" fillId="5" borderId="0" xfId="0" applyFont="1" applyFill="1" applyAlignment="1">
      <alignment horizontal="left" vertical="center"/>
    </xf>
    <xf numFmtId="0" fontId="2" fillId="5" borderId="28" xfId="0" applyFont="1" applyFill="1" applyBorder="1" applyAlignment="1">
      <alignment horizontal="left" vertical="center"/>
    </xf>
    <xf numFmtId="0" fontId="2" fillId="5" borderId="28" xfId="0" applyFont="1" applyFill="1" applyBorder="1"/>
    <xf numFmtId="0" fontId="2" fillId="5" borderId="30" xfId="0" applyFont="1" applyFill="1" applyBorder="1"/>
    <xf numFmtId="0" fontId="2" fillId="5" borderId="31" xfId="0" applyFont="1" applyFill="1" applyBorder="1"/>
    <xf numFmtId="0" fontId="2" fillId="5" borderId="30" xfId="0" applyFont="1" applyFill="1" applyBorder="1" applyAlignment="1">
      <alignment horizontal="left" vertical="center"/>
    </xf>
    <xf numFmtId="164" fontId="0" fillId="2" borderId="0" xfId="0" applyNumberFormat="1" applyFill="1"/>
    <xf numFmtId="0" fontId="2" fillId="5" borderId="6" xfId="0" applyFont="1" applyFill="1" applyBorder="1"/>
    <xf numFmtId="0" fontId="2" fillId="5" borderId="7" xfId="0" applyFont="1" applyFill="1" applyBorder="1"/>
    <xf numFmtId="0" fontId="2" fillId="5" borderId="32" xfId="0" applyFont="1" applyFill="1" applyBorder="1"/>
    <xf numFmtId="0" fontId="2" fillId="6" borderId="12" xfId="0" applyFont="1" applyFill="1" applyBorder="1"/>
    <xf numFmtId="0" fontId="2" fillId="6" borderId="13" xfId="0" applyFont="1" applyFill="1" applyBorder="1"/>
    <xf numFmtId="0" fontId="2" fillId="6" borderId="35" xfId="0" applyFont="1" applyFill="1" applyBorder="1"/>
    <xf numFmtId="0" fontId="0" fillId="5" borderId="28" xfId="0" applyFill="1" applyBorder="1"/>
    <xf numFmtId="0" fontId="2" fillId="5" borderId="21" xfId="0" applyFont="1" applyFill="1" applyBorder="1"/>
    <xf numFmtId="0" fontId="2" fillId="5" borderId="36" xfId="0" applyFont="1" applyFill="1" applyBorder="1"/>
    <xf numFmtId="0" fontId="2" fillId="5" borderId="5" xfId="0" applyFont="1" applyFill="1" applyBorder="1"/>
    <xf numFmtId="0" fontId="0" fillId="5" borderId="0" xfId="0" applyFill="1"/>
    <xf numFmtId="0" fontId="6" fillId="0" borderId="25" xfId="0" applyFont="1" applyBorder="1" applyAlignment="1">
      <alignment horizontal="center"/>
    </xf>
    <xf numFmtId="0" fontId="0" fillId="3" borderId="25" xfId="0" applyFill="1" applyBorder="1" applyAlignment="1">
      <alignment horizontal="center"/>
    </xf>
    <xf numFmtId="0" fontId="0" fillId="3" borderId="21" xfId="0" applyFill="1" applyBorder="1" applyAlignment="1">
      <alignment horizontal="center"/>
    </xf>
    <xf numFmtId="0" fontId="6" fillId="3" borderId="36" xfId="0" applyFont="1" applyFill="1" applyBorder="1" applyAlignment="1">
      <alignment horizontal="center"/>
    </xf>
    <xf numFmtId="0" fontId="0" fillId="0" borderId="25" xfId="0" applyBorder="1" applyAlignment="1">
      <alignment horizontal="center"/>
    </xf>
    <xf numFmtId="0" fontId="0" fillId="0" borderId="21" xfId="0" applyBorder="1" applyAlignment="1">
      <alignment horizontal="center"/>
    </xf>
    <xf numFmtId="0" fontId="0" fillId="0" borderId="36" xfId="0" applyBorder="1" applyAlignment="1">
      <alignment horizontal="center"/>
    </xf>
    <xf numFmtId="0" fontId="6" fillId="3" borderId="25" xfId="0" applyFont="1" applyFill="1" applyBorder="1" applyAlignment="1">
      <alignment horizontal="center"/>
    </xf>
    <xf numFmtId="0" fontId="6" fillId="3" borderId="21" xfId="0" applyFont="1" applyFill="1" applyBorder="1" applyAlignment="1">
      <alignment horizontal="center"/>
    </xf>
    <xf numFmtId="10" fontId="7" fillId="0" borderId="25" xfId="0" applyNumberFormat="1" applyFont="1" applyBorder="1"/>
    <xf numFmtId="10" fontId="7" fillId="0" borderId="25" xfId="2" applyNumberFormat="1" applyFont="1" applyFill="1" applyBorder="1" applyAlignment="1"/>
    <xf numFmtId="10" fontId="7" fillId="0" borderId="25" xfId="2" applyNumberFormat="1" applyFont="1" applyFill="1" applyBorder="1" applyAlignment="1">
      <alignment horizontal="right"/>
    </xf>
    <xf numFmtId="10" fontId="7" fillId="3" borderId="25" xfId="2" applyNumberFormat="1" applyFont="1" applyFill="1" applyBorder="1" applyAlignment="1"/>
    <xf numFmtId="10" fontId="7" fillId="3" borderId="21" xfId="2" applyNumberFormat="1" applyFont="1" applyFill="1" applyBorder="1" applyAlignment="1"/>
    <xf numFmtId="10" fontId="7" fillId="3" borderId="36" xfId="2" applyNumberFormat="1" applyFont="1" applyFill="1" applyBorder="1" applyAlignment="1"/>
    <xf numFmtId="10" fontId="7" fillId="0" borderId="22" xfId="2" applyNumberFormat="1" applyFont="1" applyFill="1" applyBorder="1" applyAlignment="1"/>
    <xf numFmtId="165" fontId="7" fillId="0" borderId="25" xfId="0" applyNumberFormat="1" applyFont="1" applyBorder="1"/>
    <xf numFmtId="165" fontId="7" fillId="0" borderId="25" xfId="2" applyNumberFormat="1" applyFont="1" applyFill="1" applyBorder="1" applyAlignment="1"/>
    <xf numFmtId="164" fontId="7" fillId="0" borderId="25" xfId="1" applyNumberFormat="1" applyFont="1" applyFill="1" applyBorder="1" applyAlignment="1"/>
    <xf numFmtId="164" fontId="7" fillId="3" borderId="25" xfId="1" applyNumberFormat="1" applyFont="1" applyFill="1" applyBorder="1" applyAlignment="1"/>
    <xf numFmtId="164" fontId="7" fillId="3" borderId="21" xfId="1" applyNumberFormat="1" applyFont="1" applyFill="1" applyBorder="1" applyAlignment="1"/>
    <xf numFmtId="164" fontId="7" fillId="3" borderId="36" xfId="1" applyNumberFormat="1" applyFont="1" applyFill="1" applyBorder="1" applyAlignment="1"/>
    <xf numFmtId="10" fontId="7" fillId="0" borderId="25" xfId="0" applyNumberFormat="1" applyFont="1" applyBorder="1" applyAlignment="1">
      <alignment horizontal="right"/>
    </xf>
    <xf numFmtId="0" fontId="0" fillId="7" borderId="0" xfId="0" applyFill="1"/>
    <xf numFmtId="0" fontId="0" fillId="5" borderId="30" xfId="0" applyFill="1" applyBorder="1" applyAlignment="1">
      <alignment horizontal="left" indent="1"/>
    </xf>
    <xf numFmtId="10" fontId="7" fillId="0" borderId="21" xfId="2" applyNumberFormat="1" applyFont="1" applyFill="1" applyBorder="1" applyAlignment="1"/>
    <xf numFmtId="10" fontId="7" fillId="3" borderId="25" xfId="2" applyNumberFormat="1" applyFont="1" applyFill="1" applyBorder="1" applyAlignment="1">
      <alignment horizontal="right"/>
    </xf>
    <xf numFmtId="10" fontId="7" fillId="3" borderId="21" xfId="2" applyNumberFormat="1" applyFont="1" applyFill="1" applyBorder="1" applyAlignment="1">
      <alignment horizontal="right"/>
    </xf>
    <xf numFmtId="10" fontId="7" fillId="3" borderId="36" xfId="2" applyNumberFormat="1" applyFont="1" applyFill="1" applyBorder="1" applyAlignment="1">
      <alignment horizontal="right"/>
    </xf>
    <xf numFmtId="164" fontId="7" fillId="0" borderId="22" xfId="1" applyNumberFormat="1" applyFont="1" applyFill="1" applyBorder="1" applyAlignment="1"/>
    <xf numFmtId="164" fontId="5" fillId="3" borderId="25" xfId="1" applyNumberFormat="1" applyFont="1" applyFill="1" applyBorder="1" applyAlignment="1"/>
    <xf numFmtId="164" fontId="7" fillId="0" borderId="36" xfId="1" applyNumberFormat="1" applyFont="1" applyFill="1" applyBorder="1" applyAlignment="1"/>
    <xf numFmtId="164" fontId="0" fillId="3" borderId="1" xfId="0" applyNumberFormat="1" applyFill="1" applyBorder="1"/>
    <xf numFmtId="164" fontId="0" fillId="3" borderId="0" xfId="0" applyNumberFormat="1" applyFill="1"/>
    <xf numFmtId="10" fontId="7" fillId="3" borderId="25" xfId="0" applyNumberFormat="1" applyFont="1" applyFill="1" applyBorder="1" applyAlignment="1">
      <alignment horizontal="right"/>
    </xf>
    <xf numFmtId="0" fontId="0" fillId="5" borderId="5" xfId="0" applyFill="1" applyBorder="1" applyAlignment="1">
      <alignment horizontal="left" indent="1"/>
    </xf>
    <xf numFmtId="10" fontId="7" fillId="0" borderId="25" xfId="2" applyNumberFormat="1" applyFont="1" applyFill="1" applyBorder="1" applyAlignment="1">
      <alignment horizontal="center"/>
    </xf>
    <xf numFmtId="10" fontId="7" fillId="0" borderId="22" xfId="2" applyNumberFormat="1" applyFont="1" applyFill="1" applyBorder="1" applyAlignment="1">
      <alignment horizontal="center"/>
    </xf>
    <xf numFmtId="15" fontId="7" fillId="0" borderId="25" xfId="0" applyNumberFormat="1" applyFont="1" applyBorder="1"/>
    <xf numFmtId="15" fontId="7" fillId="3" borderId="25" xfId="0" applyNumberFormat="1" applyFont="1" applyFill="1" applyBorder="1"/>
    <xf numFmtId="15" fontId="7" fillId="3" borderId="21" xfId="0" applyNumberFormat="1" applyFont="1" applyFill="1" applyBorder="1"/>
    <xf numFmtId="15" fontId="7" fillId="3" borderId="36" xfId="0" applyNumberFormat="1" applyFont="1" applyFill="1" applyBorder="1"/>
    <xf numFmtId="0" fontId="7" fillId="0" borderId="25" xfId="0" applyFont="1" applyBorder="1" applyAlignment="1">
      <alignment horizontal="center"/>
    </xf>
    <xf numFmtId="0" fontId="7" fillId="3" borderId="25" xfId="0" applyFont="1" applyFill="1" applyBorder="1" applyAlignment="1">
      <alignment horizontal="center"/>
    </xf>
    <xf numFmtId="0" fontId="7" fillId="3" borderId="21" xfId="0" applyFont="1" applyFill="1" applyBorder="1" applyAlignment="1">
      <alignment horizontal="center"/>
    </xf>
    <xf numFmtId="0" fontId="7" fillId="3" borderId="36" xfId="0" applyFont="1" applyFill="1" applyBorder="1" applyAlignment="1">
      <alignment horizontal="center"/>
    </xf>
    <xf numFmtId="0" fontId="2" fillId="5" borderId="33" xfId="0" applyFont="1" applyFill="1" applyBorder="1"/>
    <xf numFmtId="0" fontId="0" fillId="5" borderId="32" xfId="0" applyFill="1" applyBorder="1"/>
    <xf numFmtId="0" fontId="7" fillId="0" borderId="37" xfId="0" applyFont="1" applyBorder="1" applyAlignment="1">
      <alignment horizontal="center"/>
    </xf>
    <xf numFmtId="0" fontId="7" fillId="0" borderId="37" xfId="0" applyFont="1" applyBorder="1" applyAlignment="1">
      <alignment horizontal="center" wrapText="1"/>
    </xf>
    <xf numFmtId="0" fontId="7" fillId="0" borderId="38" xfId="0" applyFont="1" applyBorder="1" applyAlignment="1">
      <alignment horizontal="center" wrapText="1"/>
    </xf>
    <xf numFmtId="0" fontId="0" fillId="3" borderId="7" xfId="0" applyFill="1" applyBorder="1"/>
    <xf numFmtId="0" fontId="2" fillId="5" borderId="23" xfId="0" applyFont="1" applyFill="1" applyBorder="1"/>
    <xf numFmtId="0" fontId="0" fillId="5" borderId="19" xfId="0" applyFill="1" applyBorder="1"/>
    <xf numFmtId="164" fontId="5" fillId="3" borderId="0" xfId="1" applyNumberFormat="1" applyFont="1" applyFill="1" applyBorder="1" applyAlignment="1">
      <alignment horizontal="center"/>
    </xf>
    <xf numFmtId="164" fontId="5" fillId="3" borderId="0" xfId="1" applyNumberFormat="1" applyFont="1" applyFill="1" applyBorder="1" applyAlignment="1"/>
    <xf numFmtId="164" fontId="5" fillId="3" borderId="1" xfId="1" applyNumberFormat="1" applyFont="1" applyFill="1" applyBorder="1" applyAlignment="1"/>
    <xf numFmtId="164" fontId="5" fillId="3" borderId="0" xfId="1" applyNumberFormat="1" applyFont="1" applyFill="1" applyBorder="1" applyAlignment="1">
      <alignment horizontal="right"/>
    </xf>
    <xf numFmtId="164" fontId="5" fillId="0" borderId="7" xfId="1" applyNumberFormat="1" applyFont="1" applyFill="1" applyBorder="1" applyAlignment="1">
      <alignment horizontal="center"/>
    </xf>
    <xf numFmtId="164" fontId="5" fillId="0" borderId="0" xfId="1" applyNumberFormat="1" applyFont="1" applyFill="1" applyBorder="1" applyAlignment="1">
      <alignment horizontal="right"/>
    </xf>
    <xf numFmtId="164" fontId="1" fillId="3" borderId="1" xfId="1" applyNumberFormat="1" applyFont="1" applyFill="1" applyBorder="1" applyAlignment="1"/>
    <xf numFmtId="0" fontId="0" fillId="5" borderId="42" xfId="0" applyFill="1" applyBorder="1"/>
    <xf numFmtId="164" fontId="5" fillId="3" borderId="18" xfId="1" applyNumberFormat="1" applyFont="1" applyFill="1" applyBorder="1" applyAlignment="1">
      <alignment horizontal="center"/>
    </xf>
    <xf numFmtId="0" fontId="0" fillId="5" borderId="24" xfId="0" applyFill="1" applyBorder="1"/>
    <xf numFmtId="0" fontId="0" fillId="5" borderId="17" xfId="0" applyFill="1" applyBorder="1" applyAlignment="1">
      <alignment horizontal="left" indent="1"/>
    </xf>
    <xf numFmtId="0" fontId="0" fillId="5" borderId="18" xfId="0" applyFill="1" applyBorder="1"/>
    <xf numFmtId="164" fontId="0" fillId="3" borderId="1" xfId="1" applyNumberFormat="1" applyFont="1" applyFill="1" applyBorder="1" applyAlignment="1"/>
    <xf numFmtId="0" fontId="0" fillId="5" borderId="5" xfId="0" applyFill="1" applyBorder="1" applyAlignment="1">
      <alignment horizontal="left" indent="2"/>
    </xf>
    <xf numFmtId="164" fontId="5" fillId="3" borderId="40" xfId="1" applyNumberFormat="1" applyFont="1" applyFill="1" applyBorder="1" applyAlignment="1"/>
    <xf numFmtId="164" fontId="0" fillId="3" borderId="0" xfId="1" applyNumberFormat="1" applyFont="1" applyFill="1" applyBorder="1" applyAlignment="1">
      <alignment horizontal="right"/>
    </xf>
    <xf numFmtId="164" fontId="5" fillId="3" borderId="18" xfId="1" applyNumberFormat="1" applyFont="1" applyFill="1" applyBorder="1" applyAlignment="1"/>
    <xf numFmtId="164" fontId="0" fillId="3" borderId="39" xfId="1" applyNumberFormat="1" applyFont="1" applyFill="1" applyBorder="1" applyAlignment="1"/>
    <xf numFmtId="0" fontId="2" fillId="5" borderId="23" xfId="0" applyFont="1" applyFill="1" applyBorder="1" applyAlignment="1">
      <alignment horizontal="left"/>
    </xf>
    <xf numFmtId="0" fontId="2" fillId="5" borderId="5" xfId="0" applyFont="1" applyFill="1" applyBorder="1" applyAlignment="1">
      <alignment horizontal="left"/>
    </xf>
    <xf numFmtId="164" fontId="1" fillId="3" borderId="1" xfId="1" applyNumberFormat="1" applyFont="1" applyFill="1" applyBorder="1" applyAlignment="1">
      <alignment horizontal="right"/>
    </xf>
    <xf numFmtId="164" fontId="7" fillId="3" borderId="0" xfId="1" applyNumberFormat="1" applyFont="1" applyFill="1" applyBorder="1" applyAlignment="1">
      <alignment horizontal="center"/>
    </xf>
    <xf numFmtId="164" fontId="1" fillId="3" borderId="0" xfId="1" applyNumberFormat="1" applyFont="1" applyFill="1" applyBorder="1" applyAlignment="1">
      <alignment horizontal="right"/>
    </xf>
    <xf numFmtId="164" fontId="1" fillId="3" borderId="0" xfId="1" applyNumberFormat="1" applyFont="1" applyFill="1" applyBorder="1" applyAlignment="1"/>
    <xf numFmtId="0" fontId="0" fillId="5" borderId="6" xfId="0" applyFill="1" applyBorder="1" applyAlignment="1">
      <alignment horizontal="left" indent="1"/>
    </xf>
    <xf numFmtId="0" fontId="0" fillId="5" borderId="7" xfId="0" applyFill="1" applyBorder="1"/>
    <xf numFmtId="164" fontId="5" fillId="3" borderId="7" xfId="1" applyNumberFormat="1" applyFont="1" applyFill="1" applyBorder="1" applyAlignment="1">
      <alignment horizontal="center"/>
    </xf>
    <xf numFmtId="0" fontId="0" fillId="3" borderId="8" xfId="0" applyFill="1" applyBorder="1"/>
    <xf numFmtId="0" fontId="0" fillId="3" borderId="0" xfId="0" applyFill="1" applyAlignment="1">
      <alignment horizontal="left" indent="1"/>
    </xf>
    <xf numFmtId="0" fontId="8" fillId="5" borderId="0" xfId="0" applyFont="1" applyFill="1" applyAlignment="1">
      <alignment horizontal="center"/>
    </xf>
    <xf numFmtId="0" fontId="8" fillId="5" borderId="42" xfId="0" applyFont="1" applyFill="1" applyBorder="1" applyAlignment="1">
      <alignment horizontal="center"/>
    </xf>
    <xf numFmtId="164" fontId="5" fillId="0" borderId="0" xfId="1" applyNumberFormat="1" applyFont="1" applyFill="1" applyBorder="1" applyAlignment="1">
      <alignment horizontal="center"/>
    </xf>
    <xf numFmtId="0" fontId="0" fillId="5" borderId="43" xfId="0" applyFill="1" applyBorder="1"/>
    <xf numFmtId="164" fontId="0" fillId="3" borderId="8"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5" borderId="17" xfId="0" applyFont="1" applyFill="1" applyBorder="1" applyAlignment="1">
      <alignment horizontal="left"/>
    </xf>
    <xf numFmtId="0" fontId="2" fillId="5" borderId="26" xfId="0" applyFont="1" applyFill="1" applyBorder="1"/>
    <xf numFmtId="0" fontId="2" fillId="5" borderId="30" xfId="0" applyFont="1" applyFill="1" applyBorder="1" applyAlignment="1">
      <alignment horizontal="left"/>
    </xf>
    <xf numFmtId="0" fontId="2" fillId="5" borderId="44" xfId="0" applyFont="1" applyFill="1" applyBorder="1"/>
    <xf numFmtId="0" fontId="2" fillId="5" borderId="6" xfId="0" applyFont="1" applyFill="1" applyBorder="1" applyAlignment="1">
      <alignment horizontal="left"/>
    </xf>
    <xf numFmtId="0" fontId="2" fillId="5" borderId="43" xfId="0" applyFont="1" applyFill="1" applyBorder="1"/>
    <xf numFmtId="0" fontId="8" fillId="8" borderId="5" xfId="0" applyFont="1" applyFill="1" applyBorder="1" applyAlignment="1">
      <alignment horizontal="center"/>
    </xf>
    <xf numFmtId="0" fontId="8" fillId="8" borderId="0" xfId="0" applyFont="1" applyFill="1" applyAlignment="1">
      <alignment horizontal="center"/>
    </xf>
    <xf numFmtId="43" fontId="5" fillId="3" borderId="0" xfId="0" applyNumberFormat="1" applyFont="1" applyFill="1" applyAlignment="1">
      <alignment horizontal="right"/>
    </xf>
    <xf numFmtId="0" fontId="5" fillId="3" borderId="1" xfId="0" applyFont="1" applyFill="1" applyBorder="1"/>
    <xf numFmtId="0" fontId="0" fillId="5" borderId="23" xfId="0" applyFill="1" applyBorder="1" applyAlignment="1">
      <alignment horizontal="left" indent="1"/>
    </xf>
    <xf numFmtId="0" fontId="2" fillId="5" borderId="19" xfId="0" applyFont="1" applyFill="1" applyBorder="1" applyAlignment="1">
      <alignment horizontal="right"/>
    </xf>
    <xf numFmtId="0" fontId="2" fillId="5" borderId="0" xfId="0" applyFont="1" applyFill="1" applyAlignment="1">
      <alignment horizontal="right"/>
    </xf>
    <xf numFmtId="0" fontId="5" fillId="3" borderId="0" xfId="0" applyFont="1" applyFill="1" applyAlignment="1">
      <alignment horizontal="right"/>
    </xf>
    <xf numFmtId="0" fontId="2" fillId="3" borderId="1" xfId="0" applyFont="1" applyFill="1" applyBorder="1" applyAlignment="1">
      <alignment horizontal="right"/>
    </xf>
    <xf numFmtId="0" fontId="2" fillId="5" borderId="18" xfId="0" applyFont="1" applyFill="1" applyBorder="1" applyAlignment="1">
      <alignment horizontal="right"/>
    </xf>
    <xf numFmtId="0" fontId="2" fillId="5" borderId="7" xfId="0" applyFont="1" applyFill="1" applyBorder="1" applyAlignment="1">
      <alignment horizontal="right"/>
    </xf>
    <xf numFmtId="0" fontId="2" fillId="5" borderId="12" xfId="0" applyFont="1" applyFill="1" applyBorder="1" applyAlignment="1">
      <alignment horizontal="left" vertical="center"/>
    </xf>
    <xf numFmtId="164" fontId="5" fillId="3" borderId="18" xfId="1" applyNumberFormat="1" applyFont="1" applyFill="1" applyBorder="1" applyAlignment="1">
      <alignment horizontal="right"/>
    </xf>
    <xf numFmtId="164" fontId="7" fillId="3" borderId="0" xfId="1" applyNumberFormat="1" applyFont="1" applyFill="1" applyBorder="1" applyAlignment="1">
      <alignment horizontal="right"/>
    </xf>
    <xf numFmtId="164" fontId="5" fillId="3" borderId="42" xfId="1" applyNumberFormat="1" applyFont="1" applyFill="1" applyBorder="1" applyAlignment="1">
      <alignment horizontal="center"/>
    </xf>
    <xf numFmtId="164" fontId="5" fillId="3" borderId="26" xfId="1" applyNumberFormat="1" applyFont="1" applyFill="1" applyBorder="1" applyAlignment="1">
      <alignment horizontal="right"/>
    </xf>
    <xf numFmtId="0" fontId="0" fillId="3" borderId="39" xfId="0" applyFill="1" applyBorder="1"/>
    <xf numFmtId="0" fontId="11" fillId="5" borderId="30" xfId="0" applyFont="1" applyFill="1" applyBorder="1" applyAlignment="1">
      <alignment horizontal="left"/>
    </xf>
    <xf numFmtId="0" fontId="2" fillId="5" borderId="27" xfId="0" applyFont="1" applyFill="1" applyBorder="1" applyAlignment="1">
      <alignment horizontal="left"/>
    </xf>
    <xf numFmtId="0" fontId="0" fillId="5" borderId="40" xfId="0" applyFill="1" applyBorder="1" applyAlignment="1">
      <alignment horizontal="left" indent="1"/>
    </xf>
    <xf numFmtId="164" fontId="5" fillId="3" borderId="42" xfId="1" applyNumberFormat="1" applyFont="1" applyFill="1" applyBorder="1" applyAlignment="1">
      <alignment horizontal="right"/>
    </xf>
    <xf numFmtId="164" fontId="5" fillId="3" borderId="42" xfId="1" applyNumberFormat="1" applyFont="1" applyFill="1" applyBorder="1" applyAlignment="1"/>
    <xf numFmtId="0" fontId="0" fillId="3" borderId="42" xfId="0" applyFill="1" applyBorder="1"/>
    <xf numFmtId="0" fontId="0" fillId="5" borderId="40" xfId="0" applyFill="1" applyBorder="1" applyAlignment="1">
      <alignment horizontal="left" indent="2"/>
    </xf>
    <xf numFmtId="0" fontId="0" fillId="5" borderId="31" xfId="0" applyFill="1" applyBorder="1" applyAlignment="1">
      <alignment horizontal="left" indent="1"/>
    </xf>
    <xf numFmtId="0" fontId="0" fillId="5" borderId="26" xfId="0" applyFill="1" applyBorder="1"/>
    <xf numFmtId="164" fontId="5" fillId="3" borderId="26" xfId="1" applyNumberFormat="1" applyFont="1" applyFill="1" applyBorder="1" applyAlignment="1"/>
    <xf numFmtId="0" fontId="0" fillId="3" borderId="26" xfId="0" applyFill="1" applyBorder="1"/>
    <xf numFmtId="0" fontId="2" fillId="5" borderId="25" xfId="0" applyFont="1" applyFill="1" applyBorder="1" applyAlignment="1">
      <alignment horizontal="left"/>
    </xf>
    <xf numFmtId="0" fontId="2" fillId="5" borderId="33" xfId="0" applyFont="1" applyFill="1" applyBorder="1" applyAlignment="1">
      <alignment horizontal="left"/>
    </xf>
    <xf numFmtId="0" fontId="2" fillId="8" borderId="6" xfId="0" applyFont="1" applyFill="1" applyBorder="1" applyAlignment="1">
      <alignment horizontal="left"/>
    </xf>
    <xf numFmtId="0" fontId="0" fillId="8" borderId="7" xfId="0" applyFill="1" applyBorder="1"/>
    <xf numFmtId="0" fontId="0" fillId="8" borderId="43" xfId="0" applyFill="1" applyBorder="1"/>
    <xf numFmtId="0" fontId="8" fillId="5" borderId="28" xfId="0" applyFont="1" applyFill="1" applyBorder="1" applyAlignment="1">
      <alignment horizontal="center"/>
    </xf>
    <xf numFmtId="0" fontId="8" fillId="5" borderId="44" xfId="0" applyFont="1" applyFill="1" applyBorder="1" applyAlignment="1">
      <alignment horizontal="center"/>
    </xf>
    <xf numFmtId="0" fontId="8" fillId="5" borderId="18" xfId="0" applyFont="1" applyFill="1" applyBorder="1" applyAlignment="1">
      <alignment horizontal="center"/>
    </xf>
    <xf numFmtId="0" fontId="8" fillId="5" borderId="26" xfId="0" applyFont="1" applyFill="1" applyBorder="1" applyAlignment="1">
      <alignment horizontal="center"/>
    </xf>
    <xf numFmtId="0" fontId="8" fillId="5" borderId="32" xfId="0" applyFont="1" applyFill="1" applyBorder="1" applyAlignment="1">
      <alignment horizontal="center"/>
    </xf>
    <xf numFmtId="0" fontId="8" fillId="5" borderId="47" xfId="0" applyFont="1" applyFill="1" applyBorder="1" applyAlignment="1">
      <alignment horizontal="center"/>
    </xf>
    <xf numFmtId="0" fontId="2" fillId="3" borderId="0" xfId="0" applyFont="1" applyFill="1" applyAlignment="1">
      <alignment horizontal="left"/>
    </xf>
    <xf numFmtId="0" fontId="8" fillId="3" borderId="0" xfId="0" applyFont="1" applyFill="1" applyAlignment="1">
      <alignment horizontal="center"/>
    </xf>
    <xf numFmtId="0" fontId="13" fillId="3" borderId="0" xfId="0" applyFont="1" applyFill="1" applyAlignment="1">
      <alignment horizontal="right"/>
    </xf>
    <xf numFmtId="0" fontId="8" fillId="5" borderId="13" xfId="0" applyFont="1" applyFill="1" applyBorder="1" applyAlignment="1">
      <alignment horizontal="center"/>
    </xf>
    <xf numFmtId="0" fontId="2" fillId="5" borderId="28" xfId="0" applyFont="1" applyFill="1" applyBorder="1" applyAlignment="1">
      <alignment horizontal="center"/>
    </xf>
    <xf numFmtId="0" fontId="2" fillId="5" borderId="44" xfId="0" applyFont="1" applyFill="1" applyBorder="1" applyAlignment="1">
      <alignment horizontal="center"/>
    </xf>
    <xf numFmtId="0" fontId="5" fillId="3" borderId="42" xfId="0" applyFont="1" applyFill="1" applyBorder="1" applyAlignment="1">
      <alignment horizontal="center"/>
    </xf>
    <xf numFmtId="167" fontId="7" fillId="3" borderId="0" xfId="0" applyNumberFormat="1" applyFont="1" applyFill="1"/>
    <xf numFmtId="167" fontId="7" fillId="3" borderId="1" xfId="0" applyNumberFormat="1" applyFont="1" applyFill="1" applyBorder="1"/>
    <xf numFmtId="0" fontId="5" fillId="3" borderId="26" xfId="0" applyFont="1" applyFill="1" applyBorder="1" applyAlignment="1">
      <alignment horizontal="center"/>
    </xf>
    <xf numFmtId="167" fontId="7" fillId="3" borderId="39" xfId="0" applyNumberFormat="1" applyFont="1" applyFill="1" applyBorder="1"/>
    <xf numFmtId="0" fontId="6" fillId="5" borderId="19" xfId="0" applyFont="1" applyFill="1" applyBorder="1"/>
    <xf numFmtId="0" fontId="6" fillId="5" borderId="0" xfId="0" applyFont="1" applyFill="1"/>
    <xf numFmtId="0" fontId="6" fillId="5" borderId="24" xfId="0" applyFont="1" applyFill="1" applyBorder="1"/>
    <xf numFmtId="0" fontId="8" fillId="5" borderId="19" xfId="0" applyFont="1" applyFill="1" applyBorder="1" applyAlignment="1">
      <alignment horizontal="center"/>
    </xf>
    <xf numFmtId="0" fontId="8" fillId="5" borderId="24" xfId="0" applyFont="1" applyFill="1" applyBorder="1" applyAlignment="1">
      <alignment horizontal="center"/>
    </xf>
    <xf numFmtId="0" fontId="8" fillId="5" borderId="7" xfId="0" applyFont="1" applyFill="1" applyBorder="1" applyAlignment="1">
      <alignment horizontal="center"/>
    </xf>
    <xf numFmtId="0" fontId="8" fillId="5" borderId="43" xfId="0" applyFont="1" applyFill="1" applyBorder="1" applyAlignment="1">
      <alignment horizontal="center"/>
    </xf>
    <xf numFmtId="0" fontId="0" fillId="3" borderId="6" xfId="0" applyFill="1" applyBorder="1"/>
    <xf numFmtId="0" fontId="0" fillId="3" borderId="9" xfId="0" applyFill="1" applyBorder="1"/>
    <xf numFmtId="0" fontId="0" fillId="3" borderId="10" xfId="0" applyFill="1" applyBorder="1"/>
    <xf numFmtId="0" fontId="0" fillId="3" borderId="11" xfId="0" applyFill="1" applyBorder="1"/>
    <xf numFmtId="0" fontId="2" fillId="5" borderId="46" xfId="0" applyFont="1" applyFill="1" applyBorder="1"/>
    <xf numFmtId="0" fontId="2" fillId="5" borderId="5" xfId="0" applyFont="1" applyFill="1" applyBorder="1" applyAlignment="1">
      <alignment horizontal="left" vertical="center"/>
    </xf>
    <xf numFmtId="0" fontId="0" fillId="5" borderId="19" xfId="0" applyFill="1" applyBorder="1" applyAlignment="1">
      <alignment horizontal="center"/>
    </xf>
    <xf numFmtId="0" fontId="0" fillId="5" borderId="24" xfId="0" applyFill="1" applyBorder="1" applyAlignment="1">
      <alignment horizontal="center"/>
    </xf>
    <xf numFmtId="0" fontId="0" fillId="5" borderId="0" xfId="0" applyFill="1" applyAlignment="1">
      <alignment horizontal="center"/>
    </xf>
    <xf numFmtId="0" fontId="0" fillId="5" borderId="5" xfId="0" applyFill="1" applyBorder="1" applyAlignment="1">
      <alignment horizontal="left"/>
    </xf>
    <xf numFmtId="164" fontId="6" fillId="3" borderId="1" xfId="1" applyNumberFormat="1" applyFont="1" applyFill="1" applyBorder="1" applyAlignment="1">
      <alignment horizontal="center"/>
    </xf>
    <xf numFmtId="164" fontId="6" fillId="3" borderId="39" xfId="1" applyNumberFormat="1" applyFont="1" applyFill="1" applyBorder="1" applyAlignment="1">
      <alignment horizontal="center"/>
    </xf>
    <xf numFmtId="0" fontId="0" fillId="5" borderId="42" xfId="0" applyFill="1" applyBorder="1" applyAlignment="1">
      <alignment horizontal="center"/>
    </xf>
    <xf numFmtId="164" fontId="0" fillId="3" borderId="1" xfId="1" applyNumberFormat="1" applyFont="1" applyFill="1" applyBorder="1" applyAlignment="1">
      <alignment horizontal="center"/>
    </xf>
    <xf numFmtId="0" fontId="0" fillId="5" borderId="18" xfId="0" applyFill="1" applyBorder="1" applyAlignment="1">
      <alignment horizontal="center"/>
    </xf>
    <xf numFmtId="0" fontId="0" fillId="5" borderId="26" xfId="0" applyFill="1" applyBorder="1" applyAlignment="1">
      <alignment horizontal="center"/>
    </xf>
    <xf numFmtId="164" fontId="6" fillId="0" borderId="1" xfId="1" applyNumberFormat="1" applyFont="1" applyFill="1" applyBorder="1" applyAlignment="1">
      <alignment horizontal="center"/>
    </xf>
    <xf numFmtId="0" fontId="0" fillId="5" borderId="28" xfId="0" applyFill="1" applyBorder="1" applyAlignment="1">
      <alignment horizontal="center"/>
    </xf>
    <xf numFmtId="0" fontId="0" fillId="5" borderId="44" xfId="0" applyFill="1" applyBorder="1" applyAlignment="1">
      <alignment horizontal="center"/>
    </xf>
    <xf numFmtId="164" fontId="7" fillId="0" borderId="1" xfId="1" applyNumberFormat="1" applyFont="1" applyFill="1" applyBorder="1" applyAlignment="1">
      <alignment horizontal="right"/>
    </xf>
    <xf numFmtId="164" fontId="0" fillId="5" borderId="5" xfId="1" applyNumberFormat="1" applyFont="1" applyFill="1" applyBorder="1" applyAlignment="1">
      <alignment horizontal="left" indent="1"/>
    </xf>
    <xf numFmtId="164" fontId="0" fillId="5" borderId="17" xfId="1" applyNumberFormat="1" applyFont="1" applyFill="1" applyBorder="1" applyAlignment="1">
      <alignment horizontal="left" indent="1"/>
    </xf>
    <xf numFmtId="164" fontId="7" fillId="0" borderId="39" xfId="1" applyNumberFormat="1" applyFont="1" applyFill="1" applyBorder="1" applyAlignment="1">
      <alignment horizontal="right"/>
    </xf>
    <xf numFmtId="0" fontId="2" fillId="5" borderId="32" xfId="0" applyFont="1" applyFill="1" applyBorder="1" applyAlignment="1">
      <alignment horizontal="center"/>
    </xf>
    <xf numFmtId="0" fontId="2" fillId="5" borderId="47" xfId="0" applyFont="1" applyFill="1" applyBorder="1" applyAlignment="1">
      <alignment horizontal="center"/>
    </xf>
    <xf numFmtId="0" fontId="0" fillId="3" borderId="0" xfId="0" applyFill="1" applyAlignment="1">
      <alignment horizontal="center"/>
    </xf>
    <xf numFmtId="0" fontId="8" fillId="5" borderId="30" xfId="0" applyFont="1" applyFill="1" applyBorder="1" applyAlignment="1">
      <alignment horizontal="left"/>
    </xf>
    <xf numFmtId="0" fontId="2" fillId="5" borderId="0" xfId="0" applyFont="1" applyFill="1" applyAlignment="1">
      <alignment horizontal="center"/>
    </xf>
    <xf numFmtId="0" fontId="2" fillId="5" borderId="19" xfId="0" applyFont="1" applyFill="1" applyBorder="1" applyAlignment="1">
      <alignment horizontal="center"/>
    </xf>
    <xf numFmtId="164" fontId="6" fillId="3" borderId="42" xfId="1" applyNumberFormat="1" applyFont="1" applyFill="1" applyBorder="1" applyAlignment="1">
      <alignment horizontal="center"/>
    </xf>
    <xf numFmtId="0" fontId="14" fillId="5" borderId="5" xfId="0" applyFont="1" applyFill="1" applyBorder="1" applyAlignment="1">
      <alignment horizontal="left" indent="1"/>
    </xf>
    <xf numFmtId="0" fontId="14" fillId="5" borderId="17" xfId="0" applyFont="1" applyFill="1" applyBorder="1" applyAlignment="1">
      <alignment horizontal="left" indent="1"/>
    </xf>
    <xf numFmtId="0" fontId="2" fillId="5" borderId="18" xfId="0" applyFont="1" applyFill="1" applyBorder="1" applyAlignment="1">
      <alignment horizontal="center"/>
    </xf>
    <xf numFmtId="164" fontId="6" fillId="3" borderId="26" xfId="1" applyNumberFormat="1" applyFont="1" applyFill="1" applyBorder="1" applyAlignment="1">
      <alignment horizontal="center"/>
    </xf>
    <xf numFmtId="0" fontId="15" fillId="5" borderId="23" xfId="0" applyFont="1" applyFill="1" applyBorder="1" applyAlignment="1">
      <alignment horizontal="left"/>
    </xf>
    <xf numFmtId="0" fontId="2" fillId="5" borderId="7" xfId="0" applyFont="1" applyFill="1" applyBorder="1" applyAlignment="1">
      <alignment horizontal="center"/>
    </xf>
    <xf numFmtId="0" fontId="0" fillId="5" borderId="30" xfId="0" applyFill="1" applyBorder="1" applyAlignment="1">
      <alignment horizontal="center"/>
    </xf>
    <xf numFmtId="0" fontId="0" fillId="5" borderId="40" xfId="0" applyFill="1" applyBorder="1" applyAlignment="1">
      <alignment horizontal="left"/>
    </xf>
    <xf numFmtId="0" fontId="0" fillId="2" borderId="27" xfId="0" applyFill="1" applyBorder="1"/>
    <xf numFmtId="0" fontId="0" fillId="2" borderId="19" xfId="0" applyFill="1" applyBorder="1"/>
    <xf numFmtId="0" fontId="0" fillId="2" borderId="24" xfId="0" applyFill="1" applyBorder="1"/>
    <xf numFmtId="0" fontId="0" fillId="2" borderId="40" xfId="0" applyFill="1" applyBorder="1"/>
    <xf numFmtId="0" fontId="0" fillId="2" borderId="42" xfId="0" applyFill="1" applyBorder="1"/>
    <xf numFmtId="43" fontId="0" fillId="2" borderId="40" xfId="0" applyNumberFormat="1" applyFill="1" applyBorder="1"/>
    <xf numFmtId="0" fontId="0" fillId="2" borderId="31" xfId="0" applyFill="1" applyBorder="1"/>
    <xf numFmtId="0" fontId="0" fillId="2" borderId="18" xfId="0" applyFill="1" applyBorder="1"/>
    <xf numFmtId="0" fontId="0" fillId="2" borderId="26" xfId="0" applyFill="1" applyBorder="1"/>
    <xf numFmtId="0" fontId="0" fillId="2" borderId="25" xfId="0" applyFill="1" applyBorder="1"/>
    <xf numFmtId="0" fontId="0" fillId="2" borderId="28" xfId="0" applyFill="1" applyBorder="1"/>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14" fontId="5" fillId="3" borderId="14" xfId="0" applyNumberFormat="1" applyFont="1" applyFill="1" applyBorder="1" applyAlignment="1">
      <alignment horizontal="right" wrapText="1"/>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0" fontId="2" fillId="5" borderId="23" xfId="0" applyFont="1" applyFill="1" applyBorder="1" applyAlignment="1">
      <alignment horizontal="left" vertical="center"/>
    </xf>
    <xf numFmtId="0" fontId="2" fillId="5" borderId="19" xfId="0" applyFont="1" applyFill="1" applyBorder="1" applyAlignment="1">
      <alignment horizontal="left" vertical="center"/>
    </xf>
    <xf numFmtId="0" fontId="2" fillId="5" borderId="24" xfId="0" applyFont="1" applyFill="1" applyBorder="1" applyAlignment="1">
      <alignment horizontal="left" vertical="center"/>
    </xf>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26" xfId="0" applyFont="1" applyFill="1" applyBorder="1" applyAlignment="1">
      <alignment horizontal="left" vertical="center"/>
    </xf>
    <xf numFmtId="164" fontId="5" fillId="3" borderId="20" xfId="1" applyNumberFormat="1" applyFont="1" applyFill="1" applyBorder="1" applyAlignment="1">
      <alignment horizontal="right"/>
    </xf>
    <xf numFmtId="164" fontId="5" fillId="3" borderId="21" xfId="1" applyNumberFormat="1" applyFont="1" applyFill="1" applyBorder="1" applyAlignment="1">
      <alignment horizontal="right"/>
    </xf>
    <xf numFmtId="164" fontId="5" fillId="3" borderId="22" xfId="1" applyNumberFormat="1" applyFont="1" applyFill="1" applyBorder="1" applyAlignment="1">
      <alignment horizontal="right"/>
    </xf>
    <xf numFmtId="0" fontId="0" fillId="3" borderId="33" xfId="0" applyFill="1" applyBorder="1" applyAlignment="1">
      <alignment horizontal="right"/>
    </xf>
    <xf numFmtId="0" fontId="0" fillId="3" borderId="32" xfId="0" applyFill="1" applyBorder="1" applyAlignment="1">
      <alignment horizontal="right"/>
    </xf>
    <xf numFmtId="0" fontId="0" fillId="3" borderId="34" xfId="0" applyFill="1" applyBorder="1" applyAlignment="1">
      <alignment horizontal="right"/>
    </xf>
    <xf numFmtId="0" fontId="8" fillId="6" borderId="9" xfId="0" applyFont="1" applyFill="1" applyBorder="1" applyAlignment="1">
      <alignment horizontal="center"/>
    </xf>
    <xf numFmtId="0" fontId="8" fillId="6" borderId="10" xfId="0" applyFont="1" applyFill="1" applyBorder="1" applyAlignment="1">
      <alignment horizontal="center"/>
    </xf>
    <xf numFmtId="0" fontId="8" fillId="6" borderId="11" xfId="0" applyFont="1" applyFill="1" applyBorder="1" applyAlignment="1">
      <alignment horizontal="center"/>
    </xf>
    <xf numFmtId="0" fontId="2" fillId="8" borderId="6" xfId="0" applyFont="1" applyFill="1" applyBorder="1" applyAlignment="1">
      <alignment horizontal="center"/>
    </xf>
    <xf numFmtId="0" fontId="2" fillId="8" borderId="7" xfId="0" applyFont="1" applyFill="1" applyBorder="1" applyAlignment="1">
      <alignment horizontal="center"/>
    </xf>
    <xf numFmtId="0" fontId="2" fillId="8" borderId="8" xfId="0" applyFont="1" applyFill="1" applyBorder="1" applyAlignment="1">
      <alignment horizontal="center"/>
    </xf>
    <xf numFmtId="164" fontId="5" fillId="3" borderId="23" xfId="1" applyNumberFormat="1" applyFont="1" applyFill="1" applyBorder="1" applyAlignment="1">
      <alignment horizontal="right" wrapText="1"/>
    </xf>
    <xf numFmtId="164" fontId="5" fillId="3" borderId="19" xfId="1" applyNumberFormat="1" applyFont="1" applyFill="1" applyBorder="1" applyAlignment="1">
      <alignment horizontal="right" wrapText="1"/>
    </xf>
    <xf numFmtId="164" fontId="5" fillId="3" borderId="29" xfId="1" applyNumberFormat="1" applyFont="1" applyFill="1" applyBorder="1" applyAlignment="1">
      <alignment horizontal="right" wrapText="1"/>
    </xf>
    <xf numFmtId="0" fontId="2" fillId="8" borderId="9" xfId="0" applyFont="1" applyFill="1" applyBorder="1" applyAlignment="1">
      <alignment horizontal="center"/>
    </xf>
    <xf numFmtId="0" fontId="2" fillId="8" borderId="10" xfId="0" applyFont="1" applyFill="1" applyBorder="1" applyAlignment="1">
      <alignment horizontal="center"/>
    </xf>
    <xf numFmtId="0" fontId="2" fillId="8" borderId="11" xfId="0" applyFont="1" applyFill="1" applyBorder="1" applyAlignment="1">
      <alignment horizontal="center"/>
    </xf>
    <xf numFmtId="164" fontId="7" fillId="3" borderId="40" xfId="0" applyNumberFormat="1" applyFont="1" applyFill="1" applyBorder="1" applyAlignment="1">
      <alignment horizontal="center"/>
    </xf>
    <xf numFmtId="164" fontId="7" fillId="3" borderId="0" xfId="0" applyNumberFormat="1" applyFont="1" applyFill="1" applyAlignment="1">
      <alignment horizontal="center"/>
    </xf>
    <xf numFmtId="164" fontId="7" fillId="3" borderId="1" xfId="0" applyNumberFormat="1" applyFont="1" applyFill="1" applyBorder="1" applyAlignment="1">
      <alignment horizontal="center"/>
    </xf>
    <xf numFmtId="164" fontId="5" fillId="3" borderId="40" xfId="1" applyNumberFormat="1" applyFont="1" applyFill="1" applyBorder="1" applyAlignment="1">
      <alignment horizontal="center"/>
    </xf>
    <xf numFmtId="164" fontId="5" fillId="3" borderId="0" xfId="1" applyNumberFormat="1" applyFont="1" applyFill="1" applyBorder="1" applyAlignment="1">
      <alignment horizontal="center"/>
    </xf>
    <xf numFmtId="164" fontId="5" fillId="3" borderId="31" xfId="1" applyNumberFormat="1" applyFont="1" applyFill="1" applyBorder="1" applyAlignment="1">
      <alignment horizontal="center"/>
    </xf>
    <xf numFmtId="164" fontId="5" fillId="3" borderId="18" xfId="1" applyNumberFormat="1" applyFont="1" applyFill="1" applyBorder="1" applyAlignment="1">
      <alignment horizontal="center"/>
    </xf>
    <xf numFmtId="164" fontId="7" fillId="0" borderId="27" xfId="1" applyNumberFormat="1" applyFont="1" applyFill="1" applyBorder="1" applyAlignment="1">
      <alignment horizontal="center"/>
    </xf>
    <xf numFmtId="164" fontId="7" fillId="0" borderId="19" xfId="1" applyNumberFormat="1" applyFont="1" applyFill="1" applyBorder="1" applyAlignment="1">
      <alignment horizontal="center"/>
    </xf>
    <xf numFmtId="164" fontId="7" fillId="0" borderId="29" xfId="1" applyNumberFormat="1" applyFont="1" applyFill="1" applyBorder="1" applyAlignment="1">
      <alignment horizontal="center"/>
    </xf>
    <xf numFmtId="164" fontId="7" fillId="3" borderId="31" xfId="1" applyNumberFormat="1" applyFont="1" applyFill="1" applyBorder="1" applyAlignment="1">
      <alignment horizontal="center"/>
    </xf>
    <xf numFmtId="164" fontId="7" fillId="3" borderId="18" xfId="1" applyNumberFormat="1" applyFont="1" applyFill="1" applyBorder="1" applyAlignment="1">
      <alignment horizontal="center"/>
    </xf>
    <xf numFmtId="164" fontId="7" fillId="3" borderId="39" xfId="1" applyNumberFormat="1" applyFont="1" applyFill="1" applyBorder="1" applyAlignment="1">
      <alignment horizontal="center"/>
    </xf>
    <xf numFmtId="164" fontId="7" fillId="3" borderId="25" xfId="1" applyNumberFormat="1" applyFont="1" applyFill="1" applyBorder="1" applyAlignment="1">
      <alignment horizontal="center"/>
    </xf>
    <xf numFmtId="164" fontId="7" fillId="3" borderId="28" xfId="1" applyNumberFormat="1" applyFont="1" applyFill="1" applyBorder="1" applyAlignment="1">
      <alignment horizontal="center"/>
    </xf>
    <xf numFmtId="164" fontId="7" fillId="3" borderId="36" xfId="1" applyNumberFormat="1" applyFont="1" applyFill="1" applyBorder="1" applyAlignment="1">
      <alignment horizontal="center"/>
    </xf>
    <xf numFmtId="164" fontId="7" fillId="3" borderId="27" xfId="0" applyNumberFormat="1" applyFont="1" applyFill="1" applyBorder="1" applyAlignment="1">
      <alignment horizontal="center"/>
    </xf>
    <xf numFmtId="164" fontId="7" fillId="3" borderId="19" xfId="0" applyNumberFormat="1" applyFont="1" applyFill="1" applyBorder="1" applyAlignment="1">
      <alignment horizontal="center"/>
    </xf>
    <xf numFmtId="164" fontId="7" fillId="3" borderId="29" xfId="0" applyNumberFormat="1" applyFont="1" applyFill="1" applyBorder="1" applyAlignment="1">
      <alignment horizontal="center"/>
    </xf>
    <xf numFmtId="164" fontId="5" fillId="0" borderId="41" xfId="1" applyNumberFormat="1" applyFont="1" applyFill="1" applyBorder="1" applyAlignment="1">
      <alignment horizontal="center"/>
    </xf>
    <xf numFmtId="164" fontId="5" fillId="0" borderId="7" xfId="1" applyNumberFormat="1" applyFont="1" applyFill="1" applyBorder="1" applyAlignment="1">
      <alignment horizontal="center"/>
    </xf>
    <xf numFmtId="164" fontId="7" fillId="3" borderId="27" xfId="1" applyNumberFormat="1" applyFont="1" applyFill="1" applyBorder="1" applyAlignment="1">
      <alignment horizontal="center"/>
    </xf>
    <xf numFmtId="164" fontId="7" fillId="3" borderId="19" xfId="1" applyNumberFormat="1" applyFont="1" applyFill="1" applyBorder="1" applyAlignment="1">
      <alignment horizontal="center"/>
    </xf>
    <xf numFmtId="164" fontId="7" fillId="3" borderId="29" xfId="1" applyNumberFormat="1" applyFont="1" applyFill="1" applyBorder="1" applyAlignment="1">
      <alignment horizontal="center"/>
    </xf>
    <xf numFmtId="164" fontId="7" fillId="0" borderId="40" xfId="0" applyNumberFormat="1" applyFont="1" applyBorder="1" applyAlignment="1">
      <alignment horizontal="center"/>
    </xf>
    <xf numFmtId="164" fontId="7" fillId="0" borderId="0" xfId="0" applyNumberFormat="1" applyFont="1" applyAlignment="1">
      <alignment horizontal="center"/>
    </xf>
    <xf numFmtId="164" fontId="7" fillId="0" borderId="1" xfId="0" applyNumberFormat="1" applyFont="1" applyBorder="1" applyAlignment="1">
      <alignment horizontal="center"/>
    </xf>
    <xf numFmtId="164" fontId="7" fillId="3" borderId="40" xfId="1" applyNumberFormat="1" applyFont="1" applyFill="1" applyBorder="1" applyAlignment="1">
      <alignment horizontal="center"/>
    </xf>
    <xf numFmtId="164" fontId="7" fillId="3" borderId="0" xfId="1" applyNumberFormat="1" applyFont="1" applyFill="1" applyBorder="1" applyAlignment="1">
      <alignment horizontal="center"/>
    </xf>
    <xf numFmtId="164" fontId="5" fillId="3" borderId="39" xfId="1" applyNumberFormat="1" applyFont="1" applyFill="1" applyBorder="1" applyAlignment="1">
      <alignment horizontal="center"/>
    </xf>
    <xf numFmtId="164" fontId="5" fillId="3" borderId="41" xfId="1" applyNumberFormat="1" applyFont="1" applyFill="1" applyBorder="1" applyAlignment="1">
      <alignment horizontal="center"/>
    </xf>
    <xf numFmtId="164" fontId="5" fillId="3" borderId="7" xfId="1" applyNumberFormat="1" applyFont="1" applyFill="1" applyBorder="1" applyAlignment="1">
      <alignment horizontal="center"/>
    </xf>
    <xf numFmtId="43" fontId="5" fillId="3" borderId="25" xfId="1" applyFont="1" applyFill="1" applyBorder="1" applyAlignment="1">
      <alignment horizontal="center"/>
    </xf>
    <xf numFmtId="43" fontId="5" fillId="3" borderId="28" xfId="1" applyFont="1" applyFill="1" applyBorder="1" applyAlignment="1">
      <alignment horizontal="center"/>
    </xf>
    <xf numFmtId="43" fontId="5" fillId="3" borderId="44" xfId="1" applyFont="1" applyFill="1" applyBorder="1" applyAlignment="1">
      <alignment horizontal="center"/>
    </xf>
    <xf numFmtId="43" fontId="5" fillId="3" borderId="36" xfId="1" applyFont="1" applyFill="1" applyBorder="1" applyAlignment="1">
      <alignment horizontal="center"/>
    </xf>
    <xf numFmtId="43" fontId="5" fillId="3" borderId="37" xfId="1" applyFont="1" applyFill="1" applyBorder="1" applyAlignment="1">
      <alignment horizontal="center"/>
    </xf>
    <xf numFmtId="43" fontId="5" fillId="3" borderId="32" xfId="1" applyFont="1" applyFill="1" applyBorder="1" applyAlignment="1">
      <alignment horizontal="center"/>
    </xf>
    <xf numFmtId="43" fontId="5" fillId="3" borderId="47" xfId="1" applyFont="1" applyFill="1" applyBorder="1" applyAlignment="1">
      <alignment horizontal="center"/>
    </xf>
    <xf numFmtId="43" fontId="5" fillId="3" borderId="34" xfId="1" applyFont="1" applyFill="1" applyBorder="1" applyAlignment="1">
      <alignment horizontal="center"/>
    </xf>
    <xf numFmtId="164" fontId="5" fillId="0" borderId="25" xfId="1" applyNumberFormat="1" applyFont="1" applyBorder="1" applyAlignment="1">
      <alignment horizontal="center"/>
    </xf>
    <xf numFmtId="164" fontId="5" fillId="0" borderId="28" xfId="1" applyNumberFormat="1" applyFont="1" applyBorder="1" applyAlignment="1">
      <alignment horizontal="center"/>
    </xf>
    <xf numFmtId="164" fontId="5" fillId="0" borderId="36" xfId="1" applyNumberFormat="1" applyFont="1" applyBorder="1" applyAlignment="1">
      <alignment horizontal="center"/>
    </xf>
    <xf numFmtId="164" fontId="5" fillId="3" borderId="37" xfId="1" applyNumberFormat="1" applyFont="1" applyFill="1" applyBorder="1" applyAlignment="1">
      <alignment horizontal="center"/>
    </xf>
    <xf numFmtId="164" fontId="5" fillId="3" borderId="32" xfId="1" applyNumberFormat="1" applyFont="1" applyFill="1" applyBorder="1" applyAlignment="1">
      <alignment horizontal="center"/>
    </xf>
    <xf numFmtId="164" fontId="5" fillId="3" borderId="34" xfId="1" applyNumberFormat="1" applyFont="1" applyFill="1" applyBorder="1" applyAlignment="1">
      <alignment horizontal="center"/>
    </xf>
    <xf numFmtId="0" fontId="2" fillId="8" borderId="45" xfId="0" applyFont="1" applyFill="1" applyBorder="1" applyAlignment="1">
      <alignment horizontal="center"/>
    </xf>
    <xf numFmtId="0" fontId="2" fillId="8" borderId="13" xfId="0" applyFont="1" applyFill="1" applyBorder="1" applyAlignment="1">
      <alignment horizontal="center"/>
    </xf>
    <xf numFmtId="0" fontId="2" fillId="8" borderId="46" xfId="0" applyFont="1" applyFill="1" applyBorder="1" applyAlignment="1">
      <alignment horizontal="center"/>
    </xf>
    <xf numFmtId="0" fontId="2" fillId="8" borderId="31" xfId="0" applyFont="1" applyFill="1" applyBorder="1" applyAlignment="1">
      <alignment horizontal="center"/>
    </xf>
    <xf numFmtId="0" fontId="2" fillId="8" borderId="18" xfId="0" applyFont="1" applyFill="1" applyBorder="1" applyAlignment="1">
      <alignment horizontal="center"/>
    </xf>
    <xf numFmtId="0" fontId="2" fillId="8" borderId="26" xfId="0" applyFont="1" applyFill="1" applyBorder="1" applyAlignment="1">
      <alignment horizontal="center"/>
    </xf>
    <xf numFmtId="0" fontId="2" fillId="8" borderId="39" xfId="0" applyFont="1" applyFill="1" applyBorder="1" applyAlignment="1">
      <alignment horizontal="center"/>
    </xf>
    <xf numFmtId="0" fontId="5" fillId="3" borderId="40" xfId="0" applyFont="1" applyFill="1" applyBorder="1" applyAlignment="1">
      <alignment horizontal="right"/>
    </xf>
    <xf numFmtId="0" fontId="5" fillId="3" borderId="0" xfId="0" applyFont="1" applyFill="1" applyAlignment="1">
      <alignment horizontal="right"/>
    </xf>
    <xf numFmtId="43" fontId="5" fillId="3" borderId="40" xfId="0" applyNumberFormat="1" applyFont="1" applyFill="1" applyBorder="1" applyAlignment="1">
      <alignment horizontal="right"/>
    </xf>
    <xf numFmtId="43" fontId="5" fillId="3" borderId="0" xfId="0" applyNumberFormat="1" applyFont="1" applyFill="1" applyAlignment="1">
      <alignment horizontal="right"/>
    </xf>
    <xf numFmtId="0" fontId="10" fillId="3" borderId="31" xfId="0" applyFont="1" applyFill="1" applyBorder="1" applyAlignment="1">
      <alignment horizontal="right"/>
    </xf>
    <xf numFmtId="0" fontId="10" fillId="3" borderId="18" xfId="0" applyFont="1" applyFill="1" applyBorder="1" applyAlignment="1">
      <alignment horizontal="right"/>
    </xf>
    <xf numFmtId="0" fontId="10" fillId="3" borderId="39" xfId="0" applyFont="1" applyFill="1" applyBorder="1" applyAlignment="1">
      <alignment horizontal="right"/>
    </xf>
    <xf numFmtId="0" fontId="5" fillId="3" borderId="27" xfId="0" applyFont="1" applyFill="1" applyBorder="1" applyAlignment="1">
      <alignment horizontal="right"/>
    </xf>
    <xf numFmtId="0" fontId="5" fillId="3" borderId="19" xfId="0" applyFont="1" applyFill="1" applyBorder="1" applyAlignment="1">
      <alignment horizontal="right"/>
    </xf>
    <xf numFmtId="0" fontId="10" fillId="3" borderId="41" xfId="0" applyFont="1" applyFill="1" applyBorder="1" applyAlignment="1">
      <alignment horizontal="right"/>
    </xf>
    <xf numFmtId="0" fontId="10" fillId="3" borderId="7" xfId="0" applyFont="1" applyFill="1" applyBorder="1" applyAlignment="1">
      <alignment horizontal="right"/>
    </xf>
    <xf numFmtId="0" fontId="10" fillId="3" borderId="8" xfId="0" applyFont="1" applyFill="1" applyBorder="1" applyAlignment="1">
      <alignment horizontal="right"/>
    </xf>
    <xf numFmtId="164" fontId="5" fillId="3" borderId="27" xfId="1" applyNumberFormat="1" applyFont="1" applyFill="1" applyBorder="1" applyAlignment="1">
      <alignment horizontal="right"/>
    </xf>
    <xf numFmtId="164" fontId="5" fillId="3" borderId="19" xfId="1" applyNumberFormat="1" applyFont="1" applyFill="1" applyBorder="1" applyAlignment="1">
      <alignment horizontal="right"/>
    </xf>
    <xf numFmtId="164" fontId="5" fillId="3" borderId="24" xfId="1" applyNumberFormat="1" applyFont="1" applyFill="1" applyBorder="1" applyAlignment="1">
      <alignment horizontal="right"/>
    </xf>
    <xf numFmtId="164" fontId="5" fillId="3" borderId="27"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29" xfId="1" applyNumberFormat="1" applyFont="1" applyFill="1" applyBorder="1" applyAlignment="1">
      <alignment horizontal="center"/>
    </xf>
    <xf numFmtId="164" fontId="5" fillId="3" borderId="40" xfId="1" applyNumberFormat="1" applyFont="1" applyFill="1" applyBorder="1" applyAlignment="1">
      <alignment horizontal="right"/>
    </xf>
    <xf numFmtId="164" fontId="5" fillId="3" borderId="0" xfId="1" applyNumberFormat="1" applyFont="1" applyFill="1" applyBorder="1" applyAlignment="1">
      <alignment horizontal="right"/>
    </xf>
    <xf numFmtId="0" fontId="2" fillId="5" borderId="12" xfId="0" applyFont="1" applyFill="1" applyBorder="1" applyAlignment="1">
      <alignment horizontal="left" vertical="center"/>
    </xf>
    <xf numFmtId="0" fontId="2" fillId="5" borderId="13" xfId="0" applyFont="1" applyFill="1" applyBorder="1" applyAlignment="1">
      <alignment horizontal="left" vertical="center"/>
    </xf>
    <xf numFmtId="0" fontId="2" fillId="5" borderId="46" xfId="0" applyFont="1" applyFill="1" applyBorder="1" applyAlignment="1">
      <alignment horizontal="left" vertical="center"/>
    </xf>
    <xf numFmtId="0" fontId="2" fillId="5" borderId="45"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46" xfId="0" applyFont="1" applyFill="1" applyBorder="1" applyAlignment="1">
      <alignment horizontal="center" vertical="center"/>
    </xf>
    <xf numFmtId="0" fontId="2" fillId="5" borderId="45"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48"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164" fontId="7" fillId="3" borderId="25" xfId="1" applyNumberFormat="1" applyFont="1" applyFill="1" applyBorder="1" applyAlignment="1">
      <alignment horizontal="right"/>
    </xf>
    <xf numFmtId="164" fontId="7" fillId="3" borderId="28" xfId="1" applyNumberFormat="1" applyFont="1" applyFill="1" applyBorder="1" applyAlignment="1">
      <alignment horizontal="right"/>
    </xf>
    <xf numFmtId="164" fontId="7" fillId="3" borderId="44" xfId="1" applyNumberFormat="1" applyFont="1" applyFill="1" applyBorder="1" applyAlignment="1">
      <alignment horizontal="right"/>
    </xf>
    <xf numFmtId="164" fontId="5" fillId="3" borderId="25" xfId="1" applyNumberFormat="1" applyFont="1" applyFill="1" applyBorder="1" applyAlignment="1">
      <alignment horizontal="center"/>
    </xf>
    <xf numFmtId="164" fontId="5" fillId="3" borderId="28" xfId="1" applyNumberFormat="1" applyFont="1" applyFill="1" applyBorder="1" applyAlignment="1">
      <alignment horizontal="center"/>
    </xf>
    <xf numFmtId="164" fontId="5" fillId="3" borderId="44" xfId="1" applyNumberFormat="1" applyFont="1" applyFill="1" applyBorder="1" applyAlignment="1">
      <alignment horizontal="center"/>
    </xf>
    <xf numFmtId="164" fontId="5" fillId="3" borderId="49" xfId="1" applyNumberFormat="1" applyFont="1" applyFill="1" applyBorder="1" applyAlignment="1">
      <alignment horizontal="center"/>
    </xf>
    <xf numFmtId="164" fontId="5" fillId="3" borderId="50" xfId="1" applyNumberFormat="1" applyFont="1" applyFill="1" applyBorder="1" applyAlignment="1">
      <alignment horizontal="center"/>
    </xf>
    <xf numFmtId="164" fontId="5" fillId="3" borderId="31" xfId="1" applyNumberFormat="1" applyFont="1" applyFill="1" applyBorder="1" applyAlignment="1">
      <alignment horizontal="right"/>
    </xf>
    <xf numFmtId="164" fontId="5" fillId="3" borderId="18" xfId="1" applyNumberFormat="1" applyFont="1" applyFill="1" applyBorder="1" applyAlignment="1">
      <alignment horizontal="right"/>
    </xf>
    <xf numFmtId="164" fontId="7" fillId="3" borderId="31" xfId="1" applyNumberFormat="1" applyFont="1" applyFill="1" applyBorder="1" applyAlignment="1">
      <alignment horizontal="right"/>
    </xf>
    <xf numFmtId="164" fontId="7" fillId="3" borderId="18" xfId="1" applyNumberFormat="1" applyFont="1" applyFill="1" applyBorder="1" applyAlignment="1">
      <alignment horizontal="right"/>
    </xf>
    <xf numFmtId="164" fontId="7" fillId="3" borderId="40" xfId="1" applyNumberFormat="1" applyFont="1" applyFill="1" applyBorder="1" applyAlignment="1">
      <alignment horizontal="right"/>
    </xf>
    <xf numFmtId="164" fontId="7" fillId="3" borderId="0" xfId="1" applyNumberFormat="1" applyFont="1" applyFill="1" applyBorder="1" applyAlignment="1">
      <alignment horizontal="right"/>
    </xf>
    <xf numFmtId="164" fontId="5" fillId="3" borderId="25" xfId="1" applyNumberFormat="1" applyFont="1" applyFill="1" applyBorder="1" applyAlignment="1">
      <alignment horizontal="right"/>
    </xf>
    <xf numFmtId="164" fontId="5" fillId="3" borderId="28" xfId="1" applyNumberFormat="1" applyFont="1" applyFill="1" applyBorder="1" applyAlignment="1">
      <alignment horizontal="right"/>
    </xf>
    <xf numFmtId="164" fontId="5" fillId="3" borderId="44" xfId="1" applyNumberFormat="1" applyFont="1" applyFill="1" applyBorder="1" applyAlignment="1">
      <alignment horizontal="right"/>
    </xf>
    <xf numFmtId="164" fontId="5" fillId="3" borderId="36" xfId="1" applyNumberFormat="1" applyFont="1" applyFill="1" applyBorder="1" applyAlignment="1">
      <alignment horizontal="center"/>
    </xf>
    <xf numFmtId="164" fontId="5" fillId="3" borderId="24" xfId="1" applyNumberFormat="1" applyFont="1" applyFill="1" applyBorder="1" applyAlignment="1">
      <alignment horizontal="center"/>
    </xf>
    <xf numFmtId="166" fontId="5" fillId="3" borderId="27" xfId="1" applyNumberFormat="1" applyFont="1" applyFill="1" applyBorder="1" applyAlignment="1">
      <alignment horizontal="right"/>
    </xf>
    <xf numFmtId="166" fontId="5" fillId="3" borderId="19" xfId="1" applyNumberFormat="1" applyFont="1" applyFill="1" applyBorder="1" applyAlignment="1">
      <alignment horizontal="right"/>
    </xf>
    <xf numFmtId="166" fontId="5" fillId="3" borderId="24" xfId="1" applyNumberFormat="1" applyFont="1" applyFill="1" applyBorder="1" applyAlignment="1">
      <alignment horizontal="right"/>
    </xf>
    <xf numFmtId="164" fontId="5" fillId="3" borderId="26" xfId="1" applyNumberFormat="1" applyFont="1" applyFill="1" applyBorder="1" applyAlignment="1">
      <alignment horizontal="right"/>
    </xf>
    <xf numFmtId="164" fontId="5" fillId="3" borderId="26" xfId="1" applyNumberFormat="1" applyFont="1" applyFill="1" applyBorder="1" applyAlignment="1">
      <alignment horizontal="center"/>
    </xf>
    <xf numFmtId="164" fontId="5" fillId="3" borderId="37" xfId="1" applyNumberFormat="1" applyFont="1" applyFill="1" applyBorder="1" applyAlignment="1">
      <alignment horizontal="right"/>
    </xf>
    <xf numFmtId="164" fontId="5" fillId="3" borderId="32" xfId="1" applyNumberFormat="1" applyFont="1" applyFill="1" applyBorder="1" applyAlignment="1">
      <alignment horizontal="right"/>
    </xf>
    <xf numFmtId="164" fontId="5" fillId="3" borderId="47" xfId="1" applyNumberFormat="1" applyFont="1" applyFill="1" applyBorder="1" applyAlignment="1">
      <alignment horizontal="right"/>
    </xf>
    <xf numFmtId="164" fontId="12" fillId="8" borderId="41" xfId="1" applyNumberFormat="1" applyFont="1" applyFill="1" applyBorder="1" applyAlignment="1">
      <alignment horizontal="right"/>
    </xf>
    <xf numFmtId="164" fontId="12" fillId="8" borderId="7" xfId="1" applyNumberFormat="1" applyFont="1" applyFill="1" applyBorder="1" applyAlignment="1">
      <alignment horizontal="right"/>
    </xf>
    <xf numFmtId="164" fontId="12" fillId="8" borderId="43" xfId="1" applyNumberFormat="1" applyFont="1" applyFill="1" applyBorder="1" applyAlignment="1">
      <alignment horizontal="right"/>
    </xf>
    <xf numFmtId="164" fontId="12" fillId="8" borderId="8" xfId="1" applyNumberFormat="1" applyFont="1" applyFill="1" applyBorder="1" applyAlignment="1">
      <alignment horizontal="right"/>
    </xf>
    <xf numFmtId="164" fontId="5" fillId="3" borderId="51" xfId="1" applyNumberFormat="1" applyFont="1" applyFill="1" applyBorder="1" applyAlignment="1">
      <alignment horizontal="center"/>
    </xf>
    <xf numFmtId="164" fontId="5" fillId="3" borderId="38" xfId="1" applyNumberFormat="1" applyFont="1" applyFill="1" applyBorder="1" applyAlignment="1">
      <alignment horizontal="center"/>
    </xf>
    <xf numFmtId="164" fontId="5" fillId="3" borderId="52" xfId="1" applyNumberFormat="1" applyFont="1" applyFill="1" applyBorder="1" applyAlignment="1">
      <alignment horizontal="center"/>
    </xf>
    <xf numFmtId="164" fontId="5" fillId="3" borderId="53" xfId="1" applyNumberFormat="1" applyFont="1" applyFill="1" applyBorder="1" applyAlignment="1">
      <alignment horizontal="center"/>
    </xf>
    <xf numFmtId="164" fontId="5" fillId="3" borderId="21" xfId="1" applyNumberFormat="1" applyFont="1" applyFill="1" applyBorder="1" applyAlignment="1">
      <alignment horizontal="center"/>
    </xf>
    <xf numFmtId="164" fontId="5" fillId="3" borderId="22" xfId="1" applyNumberFormat="1" applyFont="1" applyFill="1" applyBorder="1" applyAlignment="1">
      <alignment horizontal="center"/>
    </xf>
    <xf numFmtId="0" fontId="8" fillId="6" borderId="2" xfId="0" applyFont="1" applyFill="1" applyBorder="1" applyAlignment="1">
      <alignment horizontal="center"/>
    </xf>
    <xf numFmtId="0" fontId="8" fillId="6" borderId="3" xfId="0" applyFont="1" applyFill="1" applyBorder="1" applyAlignment="1">
      <alignment horizontal="center"/>
    </xf>
    <xf numFmtId="0" fontId="8" fillId="6" borderId="4" xfId="0" applyFont="1" applyFill="1" applyBorder="1" applyAlignment="1">
      <alignment horizontal="center"/>
    </xf>
    <xf numFmtId="10" fontId="7" fillId="3" borderId="48" xfId="0" applyNumberFormat="1" applyFont="1" applyFill="1" applyBorder="1" applyAlignment="1">
      <alignment horizontal="center" vertical="center"/>
    </xf>
    <xf numFmtId="10" fontId="7" fillId="3" borderId="3" xfId="0" applyNumberFormat="1" applyFont="1" applyFill="1" applyBorder="1" applyAlignment="1">
      <alignment horizontal="center" vertical="center"/>
    </xf>
    <xf numFmtId="10" fontId="7" fillId="3" borderId="4" xfId="0" applyNumberFormat="1" applyFont="1" applyFill="1" applyBorder="1" applyAlignment="1">
      <alignment horizontal="center" vertical="center"/>
    </xf>
    <xf numFmtId="0" fontId="2" fillId="5" borderId="25"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28" xfId="0" applyFont="1" applyFill="1" applyBorder="1" applyAlignment="1">
      <alignment horizontal="center"/>
    </xf>
    <xf numFmtId="0" fontId="2" fillId="5" borderId="44" xfId="0" applyFont="1" applyFill="1" applyBorder="1" applyAlignment="1">
      <alignment horizontal="center"/>
    </xf>
    <xf numFmtId="0" fontId="2" fillId="5" borderId="21" xfId="0" applyFont="1" applyFill="1" applyBorder="1" applyAlignment="1">
      <alignment horizontal="center"/>
    </xf>
    <xf numFmtId="0" fontId="2" fillId="5" borderId="22" xfId="0" applyFont="1" applyFill="1" applyBorder="1" applyAlignment="1">
      <alignment horizontal="center"/>
    </xf>
    <xf numFmtId="16" fontId="5" fillId="3" borderId="40" xfId="0" applyNumberFormat="1" applyFont="1" applyFill="1" applyBorder="1" applyAlignment="1">
      <alignment horizontal="center"/>
    </xf>
    <xf numFmtId="16" fontId="5" fillId="3" borderId="0" xfId="0" applyNumberFormat="1" applyFont="1" applyFill="1" applyAlignment="1">
      <alignment horizontal="center"/>
    </xf>
    <xf numFmtId="10" fontId="7" fillId="3" borderId="0" xfId="0" applyNumberFormat="1" applyFont="1" applyFill="1" applyAlignment="1">
      <alignment horizontal="center"/>
    </xf>
    <xf numFmtId="10" fontId="7" fillId="3" borderId="42" xfId="0" applyNumberFormat="1" applyFont="1" applyFill="1" applyBorder="1" applyAlignment="1">
      <alignment horizontal="center"/>
    </xf>
    <xf numFmtId="167" fontId="7" fillId="3" borderId="40"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40" xfId="0" applyNumberFormat="1" applyFont="1" applyFill="1" applyBorder="1" applyAlignment="1">
      <alignment horizontal="center"/>
    </xf>
    <xf numFmtId="167" fontId="7" fillId="3" borderId="0" xfId="0" applyNumberFormat="1" applyFont="1" applyFill="1" applyAlignment="1">
      <alignment horizontal="center"/>
    </xf>
    <xf numFmtId="16" fontId="5" fillId="3" borderId="42" xfId="0" applyNumberFormat="1" applyFont="1" applyFill="1" applyBorder="1" applyAlignment="1">
      <alignment horizontal="center"/>
    </xf>
    <xf numFmtId="14" fontId="5" fillId="3" borderId="25" xfId="0" applyNumberFormat="1" applyFont="1" applyFill="1" applyBorder="1" applyAlignment="1">
      <alignment horizontal="center"/>
    </xf>
    <xf numFmtId="14" fontId="5" fillId="3" borderId="28" xfId="0" applyNumberFormat="1" applyFont="1" applyFill="1" applyBorder="1" applyAlignment="1">
      <alignment horizontal="center"/>
    </xf>
    <xf numFmtId="14" fontId="5" fillId="3" borderId="44" xfId="0" applyNumberFormat="1" applyFont="1" applyFill="1" applyBorder="1" applyAlignment="1">
      <alignment horizontal="center"/>
    </xf>
    <xf numFmtId="10" fontId="5" fillId="3" borderId="28" xfId="0" applyNumberFormat="1" applyFont="1" applyFill="1" applyBorder="1" applyAlignment="1">
      <alignment horizontal="center"/>
    </xf>
    <xf numFmtId="10" fontId="5" fillId="3" borderId="44" xfId="0" applyNumberFormat="1" applyFont="1" applyFill="1" applyBorder="1" applyAlignment="1">
      <alignment horizontal="center"/>
    </xf>
    <xf numFmtId="167" fontId="7" fillId="3" borderId="21" xfId="0" applyNumberFormat="1" applyFont="1" applyFill="1" applyBorder="1" applyAlignment="1">
      <alignment horizontal="center"/>
    </xf>
    <xf numFmtId="167" fontId="7" fillId="3" borderId="22" xfId="0" applyNumberFormat="1" applyFont="1" applyFill="1" applyBorder="1" applyAlignment="1">
      <alignment horizontal="center"/>
    </xf>
    <xf numFmtId="0" fontId="2" fillId="9" borderId="27" xfId="0" applyFont="1" applyFill="1" applyBorder="1" applyAlignment="1">
      <alignment horizontal="center"/>
    </xf>
    <xf numFmtId="0" fontId="2" fillId="9" borderId="19" xfId="0" applyFont="1" applyFill="1" applyBorder="1" applyAlignment="1">
      <alignment horizontal="center"/>
    </xf>
    <xf numFmtId="0" fontId="2" fillId="9" borderId="24" xfId="0" applyFont="1" applyFill="1" applyBorder="1" applyAlignment="1">
      <alignment horizontal="center"/>
    </xf>
    <xf numFmtId="0" fontId="6" fillId="9" borderId="19" xfId="0" applyFont="1" applyFill="1" applyBorder="1" applyAlignment="1">
      <alignment horizontal="center"/>
    </xf>
    <xf numFmtId="0" fontId="6" fillId="9" borderId="24" xfId="0" applyFont="1" applyFill="1" applyBorder="1" applyAlignment="1">
      <alignment horizontal="center"/>
    </xf>
    <xf numFmtId="167" fontId="7" fillId="9" borderId="27" xfId="1" applyNumberFormat="1" applyFont="1" applyFill="1" applyBorder="1" applyAlignment="1">
      <alignment horizontal="center"/>
    </xf>
    <xf numFmtId="167" fontId="7" fillId="9" borderId="19" xfId="1" applyNumberFormat="1" applyFont="1" applyFill="1" applyBorder="1" applyAlignment="1">
      <alignment horizontal="center"/>
    </xf>
    <xf numFmtId="167" fontId="7" fillId="9" borderId="49" xfId="0" applyNumberFormat="1" applyFont="1" applyFill="1" applyBorder="1" applyAlignment="1">
      <alignment horizontal="center"/>
    </xf>
    <xf numFmtId="167" fontId="7" fillId="9" borderId="50" xfId="0" applyNumberFormat="1" applyFont="1" applyFill="1" applyBorder="1" applyAlignment="1">
      <alignment horizontal="center"/>
    </xf>
    <xf numFmtId="14" fontId="5" fillId="3" borderId="40" xfId="0" applyNumberFormat="1" applyFont="1" applyFill="1" applyBorder="1" applyAlignment="1">
      <alignment horizontal="center"/>
    </xf>
    <xf numFmtId="14" fontId="5" fillId="3" borderId="0" xfId="0" applyNumberFormat="1" applyFont="1" applyFill="1" applyAlignment="1">
      <alignment horizontal="center"/>
    </xf>
    <xf numFmtId="14" fontId="5" fillId="3" borderId="42" xfId="0" applyNumberFormat="1" applyFont="1" applyFill="1" applyBorder="1" applyAlignment="1">
      <alignment horizontal="center"/>
    </xf>
    <xf numFmtId="16" fontId="5" fillId="3" borderId="31" xfId="0" applyNumberFormat="1" applyFont="1" applyFill="1" applyBorder="1" applyAlignment="1">
      <alignment horizontal="center"/>
    </xf>
    <xf numFmtId="16" fontId="5" fillId="3" borderId="18" xfId="0" applyNumberFormat="1" applyFont="1" applyFill="1" applyBorder="1" applyAlignment="1">
      <alignment horizontal="center"/>
    </xf>
    <xf numFmtId="0" fontId="7" fillId="3" borderId="18" xfId="0" applyFont="1" applyFill="1" applyBorder="1" applyAlignment="1">
      <alignment horizontal="center"/>
    </xf>
    <xf numFmtId="0" fontId="7" fillId="3" borderId="26" xfId="0" applyFont="1" applyFill="1" applyBorder="1" applyAlignment="1">
      <alignment horizontal="center"/>
    </xf>
    <xf numFmtId="167" fontId="7" fillId="3" borderId="31" xfId="0" applyNumberFormat="1" applyFont="1" applyFill="1" applyBorder="1" applyAlignment="1">
      <alignment horizontal="center"/>
    </xf>
    <xf numFmtId="167" fontId="7" fillId="3" borderId="18" xfId="0" applyNumberFormat="1" applyFont="1" applyFill="1" applyBorder="1" applyAlignment="1">
      <alignment horizontal="center"/>
    </xf>
    <xf numFmtId="167" fontId="7" fillId="3" borderId="51" xfId="0" applyNumberFormat="1" applyFont="1" applyFill="1" applyBorder="1" applyAlignment="1">
      <alignment horizontal="center"/>
    </xf>
    <xf numFmtId="167" fontId="7" fillId="3" borderId="38" xfId="0" applyNumberFormat="1" applyFont="1" applyFill="1" applyBorder="1" applyAlignment="1">
      <alignment horizontal="center"/>
    </xf>
    <xf numFmtId="167" fontId="7" fillId="3" borderId="52" xfId="0" applyNumberFormat="1" applyFont="1" applyFill="1" applyBorder="1" applyAlignment="1">
      <alignment horizontal="center"/>
    </xf>
    <xf numFmtId="167" fontId="7" fillId="3" borderId="53" xfId="0" applyNumberFormat="1" applyFont="1" applyFill="1" applyBorder="1" applyAlignment="1">
      <alignment horizont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14" fontId="5" fillId="0" borderId="15" xfId="0" applyNumberFormat="1" applyFont="1" applyBorder="1" applyAlignment="1">
      <alignment horizontal="right" wrapText="1"/>
    </xf>
    <xf numFmtId="14" fontId="5" fillId="0" borderId="16" xfId="0" applyNumberFormat="1" applyFont="1" applyBorder="1" applyAlignment="1">
      <alignment horizontal="right" wrapText="1"/>
    </xf>
    <xf numFmtId="0" fontId="2" fillId="5" borderId="42" xfId="0" applyFont="1" applyFill="1" applyBorder="1" applyAlignment="1">
      <alignment horizontal="left" vertical="center"/>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6" xfId="0" applyNumberFormat="1" applyFont="1" applyFill="1" applyBorder="1" applyAlignment="1">
      <alignment horizontal="right" wrapText="1"/>
    </xf>
    <xf numFmtId="0" fontId="0" fillId="3" borderId="21" xfId="0" applyFill="1" applyBorder="1" applyAlignment="1">
      <alignment horizontal="right"/>
    </xf>
    <xf numFmtId="0" fontId="0" fillId="3" borderId="22" xfId="0" applyFill="1" applyBorder="1" applyAlignment="1">
      <alignment horizontal="right"/>
    </xf>
    <xf numFmtId="0" fontId="0" fillId="3" borderId="51" xfId="0" applyFill="1" applyBorder="1" applyAlignment="1">
      <alignment horizontal="right"/>
    </xf>
    <xf numFmtId="0" fontId="0" fillId="3" borderId="38" xfId="0" applyFill="1" applyBorder="1" applyAlignment="1">
      <alignment horizontal="right"/>
    </xf>
    <xf numFmtId="0" fontId="8" fillId="6" borderId="12" xfId="0" applyFont="1" applyFill="1" applyBorder="1" applyAlignment="1">
      <alignment horizontal="center"/>
    </xf>
    <xf numFmtId="0" fontId="8" fillId="6" borderId="13" xfId="0" applyFont="1" applyFill="1" applyBorder="1" applyAlignment="1">
      <alignment horizontal="center"/>
    </xf>
    <xf numFmtId="0" fontId="8" fillId="6" borderId="35" xfId="0" applyFont="1" applyFill="1" applyBorder="1" applyAlignment="1">
      <alignment horizontal="center"/>
    </xf>
    <xf numFmtId="164" fontId="5" fillId="3" borderId="21" xfId="1" applyNumberFormat="1" applyFont="1" applyFill="1" applyBorder="1" applyAlignment="1">
      <alignment horizontal="right" wrapText="1"/>
    </xf>
    <xf numFmtId="164" fontId="5" fillId="3" borderId="22" xfId="1" applyNumberFormat="1" applyFont="1" applyFill="1" applyBorder="1" applyAlignment="1">
      <alignment horizontal="right" wrapText="1"/>
    </xf>
    <xf numFmtId="14" fontId="5" fillId="0" borderId="21" xfId="0" applyNumberFormat="1" applyFont="1" applyBorder="1" applyAlignment="1">
      <alignment horizontal="right" wrapText="1"/>
    </xf>
    <xf numFmtId="14" fontId="5" fillId="0" borderId="22" xfId="0" applyNumberFormat="1" applyFont="1" applyBorder="1" applyAlignment="1">
      <alignment horizontal="right" wrapText="1"/>
    </xf>
    <xf numFmtId="165" fontId="5" fillId="3" borderId="21" xfId="0" applyNumberFormat="1" applyFont="1" applyFill="1" applyBorder="1" applyAlignment="1">
      <alignment horizontal="right" wrapText="1"/>
    </xf>
    <xf numFmtId="165" fontId="5" fillId="3" borderId="22" xfId="0" applyNumberFormat="1" applyFont="1" applyFill="1" applyBorder="1" applyAlignment="1">
      <alignment horizontal="right" wrapText="1"/>
    </xf>
    <xf numFmtId="164" fontId="7" fillId="0" borderId="31" xfId="1" applyNumberFormat="1" applyFont="1" applyFill="1" applyBorder="1" applyAlignment="1">
      <alignment horizontal="right"/>
    </xf>
    <xf numFmtId="164" fontId="7" fillId="0" borderId="18" xfId="1" applyNumberFormat="1" applyFont="1" applyFill="1" applyBorder="1" applyAlignment="1">
      <alignment horizontal="right"/>
    </xf>
    <xf numFmtId="0" fontId="2" fillId="8" borderId="30" xfId="0" applyFont="1" applyFill="1" applyBorder="1" applyAlignment="1">
      <alignment horizontal="center"/>
    </xf>
    <xf numFmtId="0" fontId="2" fillId="8" borderId="28" xfId="0" applyFont="1" applyFill="1" applyBorder="1" applyAlignment="1">
      <alignment horizontal="center"/>
    </xf>
    <xf numFmtId="0" fontId="2" fillId="8" borderId="36" xfId="0" applyFont="1" applyFill="1" applyBorder="1" applyAlignment="1">
      <alignment horizontal="center"/>
    </xf>
    <xf numFmtId="164" fontId="7" fillId="3" borderId="27" xfId="1" applyNumberFormat="1" applyFont="1" applyFill="1" applyBorder="1" applyAlignment="1">
      <alignment horizontal="right"/>
    </xf>
    <xf numFmtId="164" fontId="7" fillId="3" borderId="19" xfId="1" applyNumberFormat="1" applyFont="1" applyFill="1" applyBorder="1" applyAlignment="1">
      <alignment horizontal="right"/>
    </xf>
    <xf numFmtId="164" fontId="7" fillId="3" borderId="29" xfId="1" applyNumberFormat="1" applyFont="1" applyFill="1" applyBorder="1" applyAlignment="1">
      <alignment horizontal="right"/>
    </xf>
    <xf numFmtId="164" fontId="7" fillId="0" borderId="19" xfId="1" applyNumberFormat="1" applyFont="1" applyFill="1" applyBorder="1" applyAlignment="1">
      <alignment horizontal="right"/>
    </xf>
    <xf numFmtId="164" fontId="7" fillId="0" borderId="29" xfId="1" applyNumberFormat="1" applyFont="1" applyFill="1" applyBorder="1" applyAlignment="1">
      <alignment horizontal="right"/>
    </xf>
    <xf numFmtId="164" fontId="7" fillId="0" borderId="4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25" xfId="1" applyNumberFormat="1" applyFont="1" applyFill="1" applyBorder="1" applyAlignment="1">
      <alignment horizontal="right"/>
    </xf>
    <xf numFmtId="164" fontId="7" fillId="0" borderId="28" xfId="1" applyNumberFormat="1" applyFont="1" applyFill="1" applyBorder="1" applyAlignment="1">
      <alignment horizontal="right"/>
    </xf>
    <xf numFmtId="164" fontId="7" fillId="0" borderId="36" xfId="1" applyNumberFormat="1" applyFont="1" applyFill="1" applyBorder="1" applyAlignment="1">
      <alignment horizontal="right"/>
    </xf>
    <xf numFmtId="164" fontId="7" fillId="0" borderId="27" xfId="1" applyNumberFormat="1" applyFont="1" applyFill="1" applyBorder="1" applyAlignment="1">
      <alignment horizontal="right"/>
    </xf>
    <xf numFmtId="164" fontId="7" fillId="0" borderId="40" xfId="1" applyNumberFormat="1" applyFont="1" applyFill="1" applyBorder="1" applyAlignment="1">
      <alignment horizontal="center"/>
    </xf>
    <xf numFmtId="164" fontId="7" fillId="0" borderId="0" xfId="1" applyNumberFormat="1" applyFont="1" applyFill="1" applyBorder="1" applyAlignment="1">
      <alignment horizontal="center"/>
    </xf>
    <xf numFmtId="0" fontId="2" fillId="5" borderId="25" xfId="0" applyFont="1" applyFill="1" applyBorder="1" applyAlignment="1">
      <alignment horizontal="center"/>
    </xf>
    <xf numFmtId="0" fontId="2" fillId="5" borderId="36" xfId="0" applyFont="1" applyFill="1" applyBorder="1" applyAlignment="1">
      <alignment horizontal="center"/>
    </xf>
    <xf numFmtId="164" fontId="7" fillId="3" borderId="24" xfId="1" applyNumberFormat="1" applyFont="1" applyFill="1" applyBorder="1" applyAlignment="1">
      <alignment horizontal="right"/>
    </xf>
    <xf numFmtId="164" fontId="7" fillId="0" borderId="1" xfId="1" applyNumberFormat="1" applyFont="1" applyFill="1" applyBorder="1" applyAlignment="1">
      <alignment horizontal="right"/>
    </xf>
    <xf numFmtId="164" fontId="7" fillId="0" borderId="31" xfId="1" applyNumberFormat="1" applyFont="1" applyFill="1" applyBorder="1" applyAlignment="1">
      <alignment horizontal="center"/>
    </xf>
    <xf numFmtId="164" fontId="7" fillId="0" borderId="18" xfId="1" applyNumberFormat="1" applyFont="1" applyFill="1" applyBorder="1" applyAlignment="1">
      <alignment horizontal="center"/>
    </xf>
    <xf numFmtId="0" fontId="2" fillId="8" borderId="17" xfId="0" applyFont="1" applyFill="1" applyBorder="1" applyAlignment="1">
      <alignment horizontal="center"/>
    </xf>
    <xf numFmtId="164" fontId="7" fillId="3" borderId="32" xfId="1" applyNumberFormat="1" applyFont="1" applyFill="1" applyBorder="1" applyAlignment="1">
      <alignment horizontal="right"/>
    </xf>
    <xf numFmtId="164" fontId="7" fillId="3" borderId="34" xfId="1" applyNumberFormat="1" applyFont="1" applyFill="1" applyBorder="1" applyAlignment="1">
      <alignment horizontal="right"/>
    </xf>
    <xf numFmtId="164" fontId="7" fillId="0" borderId="0" xfId="1" applyNumberFormat="1" applyFont="1" applyFill="1" applyAlignment="1">
      <alignment horizontal="right"/>
    </xf>
    <xf numFmtId="9" fontId="6" fillId="3" borderId="25" xfId="0" applyNumberFormat="1" applyFont="1" applyFill="1" applyBorder="1" applyAlignment="1">
      <alignment horizontal="center"/>
    </xf>
    <xf numFmtId="0" fontId="6" fillId="3" borderId="28" xfId="0" applyFont="1" applyFill="1" applyBorder="1" applyAlignment="1">
      <alignment horizontal="center"/>
    </xf>
    <xf numFmtId="0" fontId="6" fillId="3" borderId="44" xfId="0"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44" xfId="2" applyNumberFormat="1" applyFont="1" applyFill="1" applyBorder="1" applyAlignment="1">
      <alignment horizontal="center"/>
    </xf>
    <xf numFmtId="10" fontId="7" fillId="0" borderId="25" xfId="0" applyNumberFormat="1" applyFont="1" applyBorder="1" applyAlignment="1">
      <alignment horizontal="center"/>
    </xf>
    <xf numFmtId="10" fontId="7" fillId="0" borderId="28" xfId="0" applyNumberFormat="1" applyFont="1" applyBorder="1" applyAlignment="1">
      <alignment horizontal="center"/>
    </xf>
    <xf numFmtId="10" fontId="7" fillId="0" borderId="36" xfId="0" applyNumberFormat="1" applyFont="1" applyBorder="1" applyAlignment="1">
      <alignment horizontal="center"/>
    </xf>
    <xf numFmtId="164" fontId="7" fillId="3" borderId="41"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43" xfId="1" applyNumberFormat="1" applyFont="1" applyFill="1" applyBorder="1" applyAlignment="1">
      <alignment horizontal="right"/>
    </xf>
    <xf numFmtId="164" fontId="7" fillId="3" borderId="8" xfId="1" applyNumberFormat="1" applyFont="1" applyFill="1" applyBorder="1" applyAlignment="1">
      <alignment horizontal="right"/>
    </xf>
    <xf numFmtId="0" fontId="6" fillId="3" borderId="25" xfId="0" applyFont="1" applyFill="1" applyBorder="1" applyAlignment="1">
      <alignment horizontal="center"/>
    </xf>
    <xf numFmtId="10" fontId="7" fillId="0" borderId="25" xfId="2" applyNumberFormat="1" applyFont="1" applyFill="1" applyBorder="1" applyAlignment="1">
      <alignment horizontal="center"/>
    </xf>
    <xf numFmtId="10" fontId="7" fillId="0" borderId="28" xfId="2" applyNumberFormat="1" applyFont="1" applyFill="1" applyBorder="1" applyAlignment="1">
      <alignment horizontal="center"/>
    </xf>
    <xf numFmtId="10" fontId="7" fillId="0" borderId="36" xfId="2" applyNumberFormat="1"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44" xfId="2" applyFont="1" applyFill="1" applyBorder="1" applyAlignment="1">
      <alignment horizontal="center"/>
    </xf>
    <xf numFmtId="10" fontId="5" fillId="0" borderId="25" xfId="0" applyNumberFormat="1" applyFont="1" applyBorder="1" applyAlignment="1">
      <alignment horizontal="center"/>
    </xf>
    <xf numFmtId="10" fontId="5" fillId="0" borderId="28" xfId="0" applyNumberFormat="1" applyFont="1" applyBorder="1" applyAlignment="1">
      <alignment horizontal="center"/>
    </xf>
    <xf numFmtId="10" fontId="5" fillId="0" borderId="36" xfId="0" applyNumberFormat="1" applyFont="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44" xfId="0" applyNumberFormat="1" applyFont="1" applyFill="1" applyBorder="1" applyAlignment="1">
      <alignment horizontal="center"/>
    </xf>
    <xf numFmtId="2" fontId="7" fillId="0" borderId="25" xfId="0" applyNumberFormat="1" applyFont="1" applyBorder="1" applyAlignment="1">
      <alignment horizontal="center"/>
    </xf>
    <xf numFmtId="2" fontId="7" fillId="0" borderId="28" xfId="0" applyNumberFormat="1" applyFont="1" applyBorder="1" applyAlignment="1">
      <alignment horizontal="center"/>
    </xf>
    <xf numFmtId="2" fontId="7" fillId="0" borderId="36" xfId="0" applyNumberFormat="1" applyFont="1" applyBorder="1" applyAlignment="1">
      <alignment horizontal="center"/>
    </xf>
    <xf numFmtId="9" fontId="7" fillId="3" borderId="37" xfId="2" applyFont="1" applyFill="1" applyBorder="1" applyAlignment="1">
      <alignment horizontal="center"/>
    </xf>
    <xf numFmtId="9" fontId="7" fillId="3" borderId="32" xfId="2" applyFont="1" applyFill="1" applyBorder="1" applyAlignment="1">
      <alignment horizontal="center"/>
    </xf>
    <xf numFmtId="9" fontId="7" fillId="3" borderId="47" xfId="2" applyFont="1" applyFill="1" applyBorder="1" applyAlignment="1">
      <alignment horizontal="center"/>
    </xf>
    <xf numFmtId="10" fontId="7" fillId="3" borderId="37" xfId="2" applyNumberFormat="1" applyFont="1" applyFill="1" applyBorder="1" applyAlignment="1">
      <alignment horizontal="center"/>
    </xf>
    <xf numFmtId="10" fontId="7" fillId="3" borderId="32" xfId="2" applyNumberFormat="1" applyFont="1" applyFill="1" applyBorder="1" applyAlignment="1">
      <alignment horizontal="center"/>
    </xf>
    <xf numFmtId="10" fontId="7" fillId="3" borderId="47" xfId="2" applyNumberFormat="1" applyFont="1" applyFill="1" applyBorder="1" applyAlignment="1">
      <alignment horizontal="center"/>
    </xf>
    <xf numFmtId="164" fontId="0" fillId="3" borderId="40" xfId="1" applyNumberFormat="1" applyFont="1" applyFill="1" applyBorder="1" applyAlignment="1">
      <alignment horizontal="center"/>
    </xf>
    <xf numFmtId="164" fontId="0" fillId="3" borderId="42" xfId="1" applyNumberFormat="1" applyFont="1" applyFill="1" applyBorder="1" applyAlignment="1">
      <alignment horizontal="center"/>
    </xf>
    <xf numFmtId="9" fontId="0" fillId="3" borderId="0" xfId="2" applyFont="1" applyFill="1" applyBorder="1" applyAlignment="1">
      <alignment horizontal="center"/>
    </xf>
    <xf numFmtId="9" fontId="0" fillId="3" borderId="42" xfId="2" applyFont="1" applyFill="1" applyBorder="1" applyAlignment="1">
      <alignment horizontal="center"/>
    </xf>
    <xf numFmtId="0" fontId="2" fillId="5" borderId="27" xfId="0" applyFont="1" applyFill="1" applyBorder="1" applyAlignment="1">
      <alignment horizontal="center"/>
    </xf>
    <xf numFmtId="0" fontId="2" fillId="5" borderId="24" xfId="0" applyFont="1" applyFill="1" applyBorder="1" applyAlignment="1">
      <alignment horizontal="center"/>
    </xf>
    <xf numFmtId="164" fontId="0" fillId="3" borderId="27" xfId="1" applyNumberFormat="1" applyFont="1" applyFill="1" applyBorder="1" applyAlignment="1">
      <alignment horizontal="center"/>
    </xf>
    <xf numFmtId="164" fontId="0" fillId="3" borderId="24" xfId="1" applyNumberFormat="1" applyFont="1" applyFill="1" applyBorder="1" applyAlignment="1">
      <alignment horizontal="center"/>
    </xf>
    <xf numFmtId="164" fontId="2" fillId="3" borderId="31" xfId="0" applyNumberFormat="1" applyFont="1" applyFill="1" applyBorder="1" applyAlignment="1">
      <alignment horizontal="center"/>
    </xf>
    <xf numFmtId="0" fontId="2" fillId="3" borderId="26" xfId="0" applyFont="1" applyFill="1" applyBorder="1" applyAlignment="1">
      <alignment horizontal="center"/>
    </xf>
    <xf numFmtId="9" fontId="2" fillId="3" borderId="25" xfId="2" applyFont="1" applyFill="1" applyBorder="1" applyAlignment="1">
      <alignment horizontal="center"/>
    </xf>
    <xf numFmtId="9" fontId="2" fillId="3" borderId="44" xfId="2" applyFont="1" applyFill="1" applyBorder="1" applyAlignment="1">
      <alignment horizontal="center"/>
    </xf>
    <xf numFmtId="9" fontId="2" fillId="3" borderId="25" xfId="0" applyNumberFormat="1" applyFont="1" applyFill="1" applyBorder="1" applyAlignment="1">
      <alignment horizontal="center"/>
    </xf>
    <xf numFmtId="0" fontId="2" fillId="3" borderId="44" xfId="0" applyFont="1" applyFill="1" applyBorder="1" applyAlignment="1">
      <alignment horizontal="center"/>
    </xf>
    <xf numFmtId="164" fontId="0" fillId="3" borderId="31" xfId="1" applyNumberFormat="1" applyFont="1" applyFill="1" applyBorder="1" applyAlignment="1">
      <alignment horizontal="center"/>
    </xf>
    <xf numFmtId="164" fontId="0" fillId="3" borderId="26" xfId="1" applyNumberFormat="1" applyFont="1" applyFill="1" applyBorder="1" applyAlignment="1">
      <alignment horizontal="center"/>
    </xf>
    <xf numFmtId="9" fontId="0" fillId="3" borderId="19" xfId="2" applyFont="1" applyFill="1" applyBorder="1" applyAlignment="1">
      <alignment horizontal="center"/>
    </xf>
    <xf numFmtId="9" fontId="0" fillId="3" borderId="24" xfId="2" applyFont="1" applyFill="1" applyBorder="1" applyAlignment="1">
      <alignment horizontal="center"/>
    </xf>
    <xf numFmtId="0" fontId="2" fillId="5" borderId="19" xfId="0" applyFont="1" applyFill="1" applyBorder="1" applyAlignment="1">
      <alignment horizontal="center"/>
    </xf>
    <xf numFmtId="9" fontId="0" fillId="3" borderId="18" xfId="2" applyFont="1" applyFill="1" applyBorder="1" applyAlignment="1">
      <alignment horizontal="center"/>
    </xf>
    <xf numFmtId="9" fontId="0" fillId="3" borderId="26" xfId="2" applyFont="1" applyFill="1" applyBorder="1" applyAlignment="1">
      <alignment horizontal="center"/>
    </xf>
    <xf numFmtId="9" fontId="2" fillId="3" borderId="44" xfId="0" applyNumberFormat="1" applyFont="1" applyFill="1" applyBorder="1" applyAlignment="1">
      <alignment horizontal="center"/>
    </xf>
    <xf numFmtId="164" fontId="2" fillId="0" borderId="31" xfId="1" applyNumberFormat="1" applyFont="1" applyFill="1" applyBorder="1" applyAlignment="1">
      <alignment horizontal="center"/>
    </xf>
    <xf numFmtId="164" fontId="2" fillId="0" borderId="26" xfId="1" applyNumberFormat="1" applyFont="1" applyFill="1" applyBorder="1" applyAlignment="1">
      <alignment horizontal="center"/>
    </xf>
    <xf numFmtId="164" fontId="2" fillId="3" borderId="31" xfId="1" applyNumberFormat="1" applyFont="1" applyFill="1" applyBorder="1" applyAlignment="1">
      <alignment horizontal="center"/>
    </xf>
    <xf numFmtId="164" fontId="2" fillId="3" borderId="26" xfId="1" applyNumberFormat="1" applyFont="1" applyFill="1" applyBorder="1" applyAlignment="1">
      <alignment horizontal="center"/>
    </xf>
    <xf numFmtId="164" fontId="0" fillId="0" borderId="40" xfId="1" applyNumberFormat="1" applyFont="1" applyFill="1" applyBorder="1" applyAlignment="1">
      <alignment horizontal="center"/>
    </xf>
    <xf numFmtId="164" fontId="0" fillId="0" borderId="42" xfId="1" applyNumberFormat="1" applyFont="1" applyFill="1" applyBorder="1" applyAlignment="1">
      <alignment horizontal="center"/>
    </xf>
    <xf numFmtId="9" fontId="0" fillId="0" borderId="0" xfId="2" applyFont="1" applyFill="1" applyBorder="1" applyAlignment="1">
      <alignment horizontal="center"/>
    </xf>
    <xf numFmtId="9" fontId="0" fillId="0" borderId="42" xfId="2" applyFont="1" applyFill="1" applyBorder="1" applyAlignment="1">
      <alignment horizontal="center"/>
    </xf>
    <xf numFmtId="164" fontId="0" fillId="0" borderId="27" xfId="1" applyNumberFormat="1" applyFont="1" applyFill="1" applyBorder="1" applyAlignment="1">
      <alignment horizontal="center"/>
    </xf>
    <xf numFmtId="164" fontId="0" fillId="0" borderId="24" xfId="1" applyNumberFormat="1" applyFont="1" applyFill="1" applyBorder="1" applyAlignment="1">
      <alignment horizontal="center"/>
    </xf>
    <xf numFmtId="9" fontId="0" fillId="0" borderId="19" xfId="2" applyFont="1" applyFill="1" applyBorder="1" applyAlignment="1">
      <alignment horizontal="center"/>
    </xf>
    <xf numFmtId="9" fontId="0" fillId="0" borderId="24" xfId="2" applyFont="1" applyFill="1" applyBorder="1" applyAlignment="1">
      <alignment horizontal="center"/>
    </xf>
    <xf numFmtId="9" fontId="2" fillId="0" borderId="25" xfId="0" applyNumberFormat="1" applyFont="1" applyBorder="1" applyAlignment="1">
      <alignment horizontal="center"/>
    </xf>
    <xf numFmtId="0" fontId="2" fillId="0" borderId="44" xfId="0" applyFont="1" applyBorder="1" applyAlignment="1">
      <alignment horizontal="center"/>
    </xf>
    <xf numFmtId="164" fontId="2" fillId="0" borderId="31" xfId="1" applyNumberFormat="1" applyFont="1" applyFill="1" applyBorder="1" applyAlignment="1">
      <alignment horizontal="right"/>
    </xf>
    <xf numFmtId="164" fontId="2" fillId="0" borderId="26" xfId="1" applyNumberFormat="1" applyFont="1" applyFill="1" applyBorder="1" applyAlignment="1">
      <alignment horizontal="right"/>
    </xf>
    <xf numFmtId="9" fontId="2" fillId="0" borderId="31" xfId="2" applyFont="1" applyFill="1" applyBorder="1" applyAlignment="1">
      <alignment horizontal="center"/>
    </xf>
    <xf numFmtId="9" fontId="2" fillId="0" borderId="26" xfId="2" applyFont="1" applyFill="1" applyBorder="1" applyAlignment="1">
      <alignment horizontal="center"/>
    </xf>
    <xf numFmtId="164" fontId="0" fillId="0" borderId="31" xfId="1" applyNumberFormat="1" applyFont="1" applyFill="1" applyBorder="1" applyAlignment="1">
      <alignment horizontal="center"/>
    </xf>
    <xf numFmtId="164" fontId="0" fillId="0" borderId="26" xfId="1" applyNumberFormat="1" applyFont="1" applyFill="1" applyBorder="1" applyAlignment="1">
      <alignment horizontal="center"/>
    </xf>
    <xf numFmtId="9" fontId="0" fillId="0" borderId="18" xfId="2" applyFont="1" applyFill="1" applyBorder="1" applyAlignment="1">
      <alignment horizontal="center"/>
    </xf>
    <xf numFmtId="9" fontId="0" fillId="0" borderId="26" xfId="2" applyFont="1" applyFill="1" applyBorder="1" applyAlignment="1">
      <alignment horizontal="center"/>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unning, Nicholas NCM" id="{42D3B30B-7952-45EB-8B8B-7CF5969E7FF7}" userId="S::Nicholas.Gunning@standardbank.co.za::f2009c57-e3a6-4270-8684-6331fd819ed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42D3B30B-7952-45EB-8B8B-7CF5969E7FF7}" id="{5C804BE1-D234-49B6-9BE1-196188D15613}">
    <text>1.141.13	Administrator Report Date means the fifteenth twelfth day after each Determination Date, or if any such day is not a Business Day, then the immediately succeeding day that is a Business Day;</text>
  </threadedComment>
  <threadedComment ref="C9" dT="2020-07-10T12:16:41.19" personId="{42D3B30B-7952-45EB-8B8B-7CF5969E7FF7}" id="{126F97A9-96DF-44EA-9D66-F9C2B6F529A4}">
    <text>1.1021.100	Determination Date means the last Business Day of [December, March, June and September], save for the first Determination Date which will be the date specified in the APS;</text>
  </threadedComment>
  <threadedComment ref="C12" dT="2020-07-10T12:17:28.82" personId="{42D3B30B-7952-45EB-8B8B-7CF5969E7FF7}" id="{25645B1C-B9EF-47CC-BE3D-3ED3CC1AC97B}">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71" dT="2020-07-10T12:19:25.59" personId="{42D3B30B-7952-45EB-8B8B-7CF5969E7FF7}" id="{570F4AF8-BF81-48F9-BC3E-66B440FAE782}">
    <text>1.2591.251	Repayments means repayments of principal received under a Loan Agreement, being scheduled instalments received, less interest owing during the immediately preceding interest period in terms of the Loan Agreement;</text>
  </threadedComment>
  <threadedComment ref="C72" dT="2020-07-10T12:20:03.96" personId="{42D3B30B-7952-45EB-8B8B-7CF5969E7FF7}" id="{F959BFCA-D958-4BF9-AAAC-161A4B3CA723}">
    <text>1.2201.211	Prepayments means principal repayments received under a Loan Agreement in excess of the minimum Instalments which a Borrower is obliged to pay;</text>
  </threadedComment>
  <threadedComment ref="C76" dT="2020-07-10T12:32:40.90" personId="{42D3B30B-7952-45EB-8B8B-7CF5969E7FF7}" id="{FC5AEB42-CB38-47EC-AC3E-A6ED082C62C4}">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7" dT="2020-07-10T12:14:24.90" personId="{42D3B30B-7952-45EB-8B8B-7CF5969E7FF7}" id="{0A9A38C0-A9D1-417F-A21A-67BB9E642A11}">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6" dT="2020-07-03T14:38:14.35" personId="{42D3B30B-7952-45EB-8B8B-7CF5969E7FF7}" id="{616C6A72-DF00-4E36-884F-08128D2492E9}">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7" dT="2020-07-03T14:39:03.59" personId="{42D3B30B-7952-45EB-8B8B-7CF5969E7FF7}" id="{17FDCF14-7403-4432-B6D3-55C1C48FADEB}">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21" dT="2020-07-03T14:39:59.73" personId="{42D3B30B-7952-45EB-8B8B-7CF5969E7FF7}" id="{0AB11505-8D0D-471C-918E-1BB9359171C5}">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22" dT="2020-07-03T14:40:20.29" personId="{42D3B30B-7952-45EB-8B8B-7CF5969E7FF7}" id="{39279436-7C29-4898-BE56-5C71A265B8B5}">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8" dT="2020-07-06T07:36:37.57" personId="{42D3B30B-7952-45EB-8B8B-7CF5969E7FF7}" id="{EF4F2F18-4797-4CE6-A358-337D349737F6}">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7" dT="2020-07-06T07:42:12.02" personId="{42D3B30B-7952-45EB-8B8B-7CF5969E7FF7}" id="{8927D22D-2975-47CE-8A51-A25BEFD41F8E}">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46" dT="2020-07-06T07:42:12.02" personId="{42D3B30B-7952-45EB-8B8B-7CF5969E7FF7}" id="{C72B0A95-1FC5-4BD7-861E-13E7FBA7FE97}">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47" dT="2020-07-06T07:42:23.74" personId="{42D3B30B-7952-45EB-8B8B-7CF5969E7FF7}" id="{09C0D1A0-262C-4608-BBC8-5721F17B23CC}">
    <text>1.701.69	Class C Principal Lock-Out shall occur on any Interest Payment Date on which, if prior to the allocation of the Redemption Amount in accordance with the Priority of Payments, there are Class B Notes outstanding;</text>
  </threadedComment>
  <threadedComment ref="C151" dT="2020-07-01T09:26:37.19" personId="{42D3B30B-7952-45EB-8B8B-7CF5969E7FF7}" id="{2AEAEAF3-B8B6-4BD6-835A-E21430AAB064}">
    <text>1.1	first, to pay or provide for the Issuer’s liability or potential liability for Tax;</text>
  </threadedComment>
  <threadedComment ref="C152" dT="2020-07-01T09:26:57.34" personId="{42D3B30B-7952-45EB-8B8B-7CF5969E7FF7}" id="{0EF40F7A-2F3A-4EFD-99BC-62FC39CBFC3C}">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55" dT="2020-07-01T09:27:14.39" personId="{42D3B30B-7952-45EB-8B8B-7CF5969E7FF7}" id="{3DDF8A84-4176-43BE-AD20-0BB66187862A}">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58" dT="2020-07-01T09:27:31.91" personId="{42D3B30B-7952-45EB-8B8B-7CF5969E7FF7}" id="{09F1C7AB-0830-4B53-B5A0-C2738F945BDD}">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62" dT="2020-07-01T09:28:08.22" personId="{42D3B30B-7952-45EB-8B8B-7CF5969E7FF7}" id="{CBA671A3-4803-4DD2-885E-21DEE3436D58}">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63" dT="2020-07-01T09:28:21.98" personId="{42D3B30B-7952-45EB-8B8B-7CF5969E7FF7}" id="{88E9D816-4729-48BC-80A1-FF046F40F398}">
    <text>1.6	sixth, to pay all amounts due and payable under the Liquidity Facility other than in respect of principal;</text>
  </threadedComment>
  <threadedComment ref="C164" dT="2020-07-01T09:28:38.95" personId="{42D3B30B-7952-45EB-8B8B-7CF5969E7FF7}" id="{E54D0A94-FAD0-4731-91E3-CE3AB0280138}">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66" dT="2020-07-01T09:28:53.80" personId="{42D3B30B-7952-45EB-8B8B-7CF5969E7FF7}" id="{36B872F4-CC41-4200-93D9-A3E3A6F56636}">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67" dT="2020-07-01T09:29:09.23" personId="{42D3B30B-7952-45EB-8B8B-7CF5969E7FF7}" id="{14741C27-F44A-48E1-A90E-6388C279ADD5}">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68" dT="2020-07-01T09:29:09.23" personId="{42D3B30B-7952-45EB-8B8B-7CF5969E7FF7}" id="{E7116A0A-A80A-4F85-91B5-1BAC89586D77}">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69" dT="2020-07-01T09:29:24.56" personId="{42D3B30B-7952-45EB-8B8B-7CF5969E7FF7}" id="{E3101B30-92CB-4DB2-BF56-A73EBA3FEDDA}">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70" dT="2020-07-01T09:29:39.12" personId="{42D3B30B-7952-45EB-8B8B-7CF5969E7FF7}" id="{7B70E952-624B-4FC2-A10F-917A0F71A5B0}">
    <text>1.11	eleventh, to repay all principal amounts outstanding under the Liquidity Facility as at the immediately preceding Determination Date up to an amount equal to the Potential Redemption Amount;</text>
  </threadedComment>
  <threadedComment ref="C171" dT="2020-07-01T09:30:54.67" personId="{42D3B30B-7952-45EB-8B8B-7CF5969E7FF7}" id="{1EA77523-9A8E-46C5-8013-BB037674D0D4}">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72" dT="2020-07-01T09:32:55.52" personId="{42D3B30B-7952-45EB-8B8B-7CF5969E7FF7}" id="{FC92E2FC-A786-490A-8EE9-1EEDA42AD262}">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73" dT="2020-07-01T10:02:56.38" personId="{42D3B30B-7952-45EB-8B8B-7CF5969E7FF7}" id="{113F9E62-C99C-4602-98A8-671F3CC6D4BD}">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B741D-1D76-428E-A388-526FDA3CB60E}">
  <dimension ref="A1:XAI239"/>
  <sheetViews>
    <sheetView showGridLines="0" tabSelected="1" topLeftCell="D1" zoomScale="80" zoomScaleNormal="80" zoomScaleSheetLayoutView="50" workbookViewId="0">
      <selection activeCell="C3" sqref="C3:W4"/>
    </sheetView>
  </sheetViews>
  <sheetFormatPr defaultColWidth="9.33203125" defaultRowHeight="14.4"/>
  <cols>
    <col min="1" max="1" width="9.33203125" style="1"/>
    <col min="2" max="2" width="3.44140625" style="1" customWidth="1"/>
    <col min="3" max="3" width="39.33203125" style="1" customWidth="1"/>
    <col min="4" max="4" width="11.6640625" style="1" bestFit="1" customWidth="1"/>
    <col min="5" max="5" width="11.44140625" style="1" customWidth="1"/>
    <col min="6" max="6" width="9.33203125" style="1"/>
    <col min="7" max="7" width="15.44140625" style="1" customWidth="1"/>
    <col min="8" max="8" width="16" style="1" customWidth="1"/>
    <col min="9" max="10" width="16.33203125" style="1" customWidth="1"/>
    <col min="11" max="15" width="18.33203125" style="1" customWidth="1"/>
    <col min="16" max="18" width="15.6640625" style="1" customWidth="1"/>
    <col min="19" max="21" width="17.6640625" style="1" customWidth="1"/>
    <col min="22" max="22" width="17.33203125" style="1" customWidth="1"/>
    <col min="23" max="23" width="14.5546875" style="1" customWidth="1"/>
    <col min="24" max="24" width="2.5546875" style="1" customWidth="1"/>
    <col min="25" max="25" width="13" style="1" customWidth="1"/>
    <col min="26" max="26" width="13" style="1" bestFit="1" customWidth="1"/>
    <col min="27" max="16258" width="9.33203125" style="1"/>
    <col min="16259" max="16259" width="11.6640625" style="1" bestFit="1" customWidth="1"/>
    <col min="16260" max="16384" width="11.6640625" style="1" customWidth="1"/>
  </cols>
  <sheetData>
    <row r="1" spans="1:25 16259:16259" ht="15" thickBot="1">
      <c r="A1" s="1">
        <v>1</v>
      </c>
      <c r="B1"/>
      <c r="C1"/>
      <c r="D1"/>
      <c r="E1"/>
      <c r="F1"/>
      <c r="G1"/>
      <c r="H1"/>
      <c r="I1"/>
      <c r="J1"/>
      <c r="K1"/>
      <c r="L1"/>
      <c r="M1"/>
      <c r="N1"/>
      <c r="O1"/>
      <c r="P1"/>
      <c r="Q1"/>
      <c r="R1"/>
      <c r="S1"/>
      <c r="T1"/>
      <c r="U1"/>
      <c r="V1"/>
      <c r="W1"/>
      <c r="X1" s="2"/>
      <c r="Y1" s="3"/>
      <c r="XAI1"/>
    </row>
    <row r="2" spans="1:25 16259:16259" ht="15" thickBot="1">
      <c r="B2" s="4"/>
      <c r="C2" s="5"/>
      <c r="D2" s="5"/>
      <c r="E2" s="5"/>
      <c r="F2" s="5"/>
      <c r="G2" s="5"/>
      <c r="H2" s="5"/>
      <c r="I2" s="5"/>
      <c r="J2" s="5"/>
      <c r="K2" s="5"/>
      <c r="L2" s="5"/>
      <c r="M2" s="5"/>
      <c r="N2" s="5"/>
      <c r="O2" s="5"/>
      <c r="P2" s="5"/>
      <c r="Q2" s="5"/>
      <c r="R2" s="5"/>
      <c r="S2" s="5"/>
      <c r="T2" s="5"/>
      <c r="U2" s="5"/>
      <c r="V2" s="5"/>
      <c r="W2" s="6"/>
      <c r="X2" s="2"/>
      <c r="Y2" s="3"/>
      <c r="XAI2" s="7"/>
    </row>
    <row r="3" spans="1:25 16259:16259" ht="20.25" customHeight="1">
      <c r="B3" s="8"/>
      <c r="C3" s="240" t="s">
        <v>0</v>
      </c>
      <c r="D3" s="241"/>
      <c r="E3" s="241"/>
      <c r="F3" s="241"/>
      <c r="G3" s="241"/>
      <c r="H3" s="241"/>
      <c r="I3" s="241"/>
      <c r="J3" s="241"/>
      <c r="K3" s="241"/>
      <c r="L3" s="241"/>
      <c r="M3" s="241"/>
      <c r="N3" s="241"/>
      <c r="O3" s="241"/>
      <c r="P3" s="241"/>
      <c r="Q3" s="241"/>
      <c r="R3" s="241"/>
      <c r="S3" s="241"/>
      <c r="T3" s="241"/>
      <c r="U3" s="241"/>
      <c r="V3" s="241"/>
      <c r="W3" s="242"/>
      <c r="X3" s="2"/>
      <c r="Y3" s="3"/>
    </row>
    <row r="4" spans="1:25 16259:16259" ht="20.25" customHeight="1" thickBot="1">
      <c r="B4" s="8"/>
      <c r="C4" s="243"/>
      <c r="D4" s="244"/>
      <c r="E4" s="244"/>
      <c r="F4" s="244"/>
      <c r="G4" s="244"/>
      <c r="H4" s="244"/>
      <c r="I4" s="244"/>
      <c r="J4" s="244"/>
      <c r="K4" s="244"/>
      <c r="L4" s="244"/>
      <c r="M4" s="244"/>
      <c r="N4" s="244"/>
      <c r="O4" s="244"/>
      <c r="P4" s="244"/>
      <c r="Q4" s="244"/>
      <c r="R4" s="244"/>
      <c r="S4" s="244"/>
      <c r="T4" s="244"/>
      <c r="U4" s="244"/>
      <c r="V4" s="244"/>
      <c r="W4" s="245"/>
      <c r="X4" s="2"/>
      <c r="Y4" s="3"/>
      <c r="XAI4" s="9"/>
    </row>
    <row r="5" spans="1:25 16259:16259" ht="15" thickBot="1">
      <c r="B5" s="8"/>
      <c r="C5" s="3"/>
      <c r="D5" s="3"/>
      <c r="E5" s="3"/>
      <c r="F5" s="3"/>
      <c r="G5" s="3"/>
      <c r="H5" s="3"/>
      <c r="I5" s="3"/>
      <c r="J5" s="3"/>
      <c r="K5" s="3"/>
      <c r="L5" s="3"/>
      <c r="M5" s="3"/>
      <c r="N5" s="3"/>
      <c r="O5" s="3"/>
      <c r="P5" s="3"/>
      <c r="Q5" s="3"/>
      <c r="R5" s="3"/>
      <c r="S5" s="3"/>
      <c r="T5" s="3"/>
      <c r="U5" s="3"/>
      <c r="V5" s="3"/>
      <c r="W5" s="2"/>
      <c r="X5" s="2"/>
      <c r="Y5" s="3"/>
    </row>
    <row r="6" spans="1:25 16259:16259" ht="15" thickBot="1">
      <c r="B6" s="8"/>
      <c r="C6" s="246" t="s">
        <v>1</v>
      </c>
      <c r="D6" s="247"/>
      <c r="E6" s="247"/>
      <c r="F6" s="247"/>
      <c r="G6" s="247"/>
      <c r="H6" s="247"/>
      <c r="I6" s="247"/>
      <c r="J6" s="247"/>
      <c r="K6" s="247"/>
      <c r="L6" s="247"/>
      <c r="M6" s="247"/>
      <c r="N6" s="247"/>
      <c r="O6" s="247"/>
      <c r="P6" s="247"/>
      <c r="Q6" s="247"/>
      <c r="R6" s="247"/>
      <c r="S6" s="247"/>
      <c r="T6" s="247"/>
      <c r="U6" s="247"/>
      <c r="V6" s="247"/>
      <c r="W6" s="248"/>
      <c r="X6" s="2"/>
      <c r="Y6" s="3"/>
    </row>
    <row r="7" spans="1:25 16259:16259" ht="15" thickBot="1">
      <c r="B7" s="8"/>
      <c r="C7" s="3"/>
      <c r="D7" s="3"/>
      <c r="E7" s="3"/>
      <c r="F7" s="3"/>
      <c r="G7" s="3"/>
      <c r="H7" s="3"/>
      <c r="I7" s="3"/>
      <c r="J7" s="3"/>
      <c r="K7" s="3"/>
      <c r="L7" s="3"/>
      <c r="M7" s="3"/>
      <c r="N7" s="3"/>
      <c r="O7" s="3"/>
      <c r="P7" s="3"/>
      <c r="Q7" s="3"/>
      <c r="R7" s="3"/>
      <c r="S7" s="3"/>
      <c r="T7" s="3"/>
      <c r="U7" s="3"/>
      <c r="V7" s="3"/>
      <c r="W7" s="2"/>
      <c r="X7" s="2"/>
      <c r="Y7" s="3"/>
    </row>
    <row r="8" spans="1:25 16259:16259">
      <c r="B8" s="8"/>
      <c r="C8" s="10" t="s">
        <v>2</v>
      </c>
      <c r="D8" s="11"/>
      <c r="E8" s="11"/>
      <c r="F8" s="11"/>
      <c r="G8" s="11"/>
      <c r="H8" s="11"/>
      <c r="I8" s="11"/>
      <c r="J8" s="11"/>
      <c r="K8" s="249">
        <v>46154</v>
      </c>
      <c r="L8" s="250"/>
      <c r="M8" s="250"/>
      <c r="N8" s="250"/>
      <c r="O8" s="250"/>
      <c r="P8" s="250"/>
      <c r="Q8" s="250"/>
      <c r="R8" s="250"/>
      <c r="S8" s="250"/>
      <c r="T8" s="250"/>
      <c r="U8" s="250"/>
      <c r="V8" s="250"/>
      <c r="W8" s="251"/>
      <c r="X8" s="2"/>
      <c r="Y8" s="3"/>
    </row>
    <row r="9" spans="1:25 16259:16259">
      <c r="B9" s="8"/>
      <c r="C9" s="12" t="s">
        <v>3</v>
      </c>
      <c r="D9" s="13"/>
      <c r="E9" s="13"/>
      <c r="F9" s="13"/>
      <c r="G9" s="13"/>
      <c r="H9" s="13"/>
      <c r="I9" s="13"/>
      <c r="J9" s="14"/>
      <c r="K9" s="252">
        <f>'Servicer Report'!J9</f>
        <v>46142</v>
      </c>
      <c r="L9" s="253"/>
      <c r="M9" s="253"/>
      <c r="N9" s="253"/>
      <c r="O9" s="253"/>
      <c r="P9" s="253"/>
      <c r="Q9" s="253"/>
      <c r="R9" s="253"/>
      <c r="S9" s="253"/>
      <c r="T9" s="253"/>
      <c r="U9" s="253"/>
      <c r="V9" s="253"/>
      <c r="W9" s="254"/>
      <c r="X9" s="2"/>
      <c r="Y9" s="3"/>
    </row>
    <row r="10" spans="1:25 16259:16259">
      <c r="B10" s="8"/>
      <c r="C10" s="255" t="s">
        <v>4</v>
      </c>
      <c r="D10" s="256"/>
      <c r="E10" s="257"/>
      <c r="F10" s="16" t="s">
        <v>5</v>
      </c>
      <c r="G10" s="13"/>
      <c r="H10" s="13"/>
      <c r="I10" s="13"/>
      <c r="J10" s="14"/>
      <c r="K10" s="252">
        <f>'Servicer Report'!J10</f>
        <v>46053</v>
      </c>
      <c r="L10" s="253"/>
      <c r="M10" s="253"/>
      <c r="N10" s="253"/>
      <c r="O10" s="253"/>
      <c r="P10" s="253"/>
      <c r="Q10" s="253"/>
      <c r="R10" s="253"/>
      <c r="S10" s="253"/>
      <c r="T10" s="253"/>
      <c r="U10" s="253"/>
      <c r="V10" s="253"/>
      <c r="W10" s="254"/>
      <c r="X10" s="2"/>
      <c r="Y10" s="3"/>
    </row>
    <row r="11" spans="1:25 16259:16259" ht="15" customHeight="1">
      <c r="B11" s="8"/>
      <c r="C11" s="258"/>
      <c r="D11" s="259"/>
      <c r="E11" s="260"/>
      <c r="F11" s="19" t="s">
        <v>6</v>
      </c>
      <c r="G11" s="13"/>
      <c r="H11" s="13"/>
      <c r="I11" s="13"/>
      <c r="J11" s="14"/>
      <c r="K11" s="252">
        <f>'Servicer Report'!J11</f>
        <v>46142</v>
      </c>
      <c r="L11" s="253"/>
      <c r="M11" s="253"/>
      <c r="N11" s="253"/>
      <c r="O11" s="253"/>
      <c r="P11" s="253"/>
      <c r="Q11" s="253"/>
      <c r="R11" s="253"/>
      <c r="S11" s="253"/>
      <c r="T11" s="253"/>
      <c r="U11" s="253"/>
      <c r="V11" s="253"/>
      <c r="W11" s="254"/>
      <c r="X11" s="2"/>
      <c r="Y11" s="3"/>
    </row>
    <row r="12" spans="1:25 16259:16259">
      <c r="B12" s="8"/>
      <c r="C12" s="17" t="s">
        <v>7</v>
      </c>
      <c r="D12" s="20"/>
      <c r="E12" s="21"/>
      <c r="F12" s="22"/>
      <c r="G12" s="13"/>
      <c r="H12" s="13"/>
      <c r="I12" s="13"/>
      <c r="J12" s="14"/>
      <c r="K12" s="273">
        <f>K11-K10</f>
        <v>89</v>
      </c>
      <c r="L12" s="274"/>
      <c r="M12" s="274"/>
      <c r="N12" s="274"/>
      <c r="O12" s="274"/>
      <c r="P12" s="274"/>
      <c r="Q12" s="274"/>
      <c r="R12" s="274"/>
      <c r="S12" s="274"/>
      <c r="T12" s="274"/>
      <c r="U12" s="274"/>
      <c r="V12" s="274"/>
      <c r="W12" s="275"/>
      <c r="X12" s="2"/>
      <c r="Y12" s="3"/>
    </row>
    <row r="13" spans="1:25 16259:16259">
      <c r="B13" s="8"/>
      <c r="C13" s="23" t="s">
        <v>8</v>
      </c>
      <c r="D13" s="22"/>
      <c r="E13" s="22"/>
      <c r="F13" s="22"/>
      <c r="G13" s="22"/>
      <c r="H13" s="22"/>
      <c r="I13" s="22"/>
      <c r="J13" s="14"/>
      <c r="K13" s="252">
        <f>'Servicer Report'!J18</f>
        <v>46157</v>
      </c>
      <c r="L13" s="253"/>
      <c r="M13" s="253"/>
      <c r="N13" s="253"/>
      <c r="O13" s="253"/>
      <c r="P13" s="253"/>
      <c r="Q13" s="253"/>
      <c r="R13" s="253"/>
      <c r="S13" s="253"/>
      <c r="T13" s="253"/>
      <c r="U13" s="253"/>
      <c r="V13" s="253"/>
      <c r="W13" s="254"/>
      <c r="X13" s="2"/>
      <c r="Y13" s="3"/>
    </row>
    <row r="14" spans="1:25 16259:16259">
      <c r="B14" s="8"/>
      <c r="C14" s="255" t="s">
        <v>9</v>
      </c>
      <c r="D14" s="256"/>
      <c r="E14" s="257"/>
      <c r="F14" s="24" t="s">
        <v>10</v>
      </c>
      <c r="G14" s="22"/>
      <c r="H14" s="22"/>
      <c r="I14" s="22"/>
      <c r="J14" s="14"/>
      <c r="K14" s="252">
        <v>46069</v>
      </c>
      <c r="L14" s="253"/>
      <c r="M14" s="253"/>
      <c r="N14" s="253"/>
      <c r="O14" s="253"/>
      <c r="P14" s="253"/>
      <c r="Q14" s="253"/>
      <c r="R14" s="253"/>
      <c r="S14" s="253"/>
      <c r="T14" s="253"/>
      <c r="U14" s="253"/>
      <c r="V14" s="253"/>
      <c r="W14" s="254"/>
      <c r="X14" s="2"/>
      <c r="Y14" s="3"/>
    </row>
    <row r="15" spans="1:25 16259:16259" ht="15" customHeight="1">
      <c r="B15" s="8"/>
      <c r="C15" s="258"/>
      <c r="D15" s="259"/>
      <c r="E15" s="260"/>
      <c r="F15" s="16" t="s">
        <v>11</v>
      </c>
      <c r="G15" s="22"/>
      <c r="H15" s="22"/>
      <c r="I15" s="22"/>
      <c r="J15" s="14"/>
      <c r="K15" s="252">
        <f>K13</f>
        <v>46157</v>
      </c>
      <c r="L15" s="253"/>
      <c r="M15" s="253"/>
      <c r="N15" s="253"/>
      <c r="O15" s="253"/>
      <c r="P15" s="253"/>
      <c r="Q15" s="253"/>
      <c r="R15" s="253"/>
      <c r="S15" s="253"/>
      <c r="T15" s="253"/>
      <c r="U15" s="253"/>
      <c r="V15" s="253"/>
      <c r="W15" s="254"/>
      <c r="X15" s="2"/>
      <c r="Y15" s="3"/>
    </row>
    <row r="16" spans="1:25 16259:16259">
      <c r="B16" s="8"/>
      <c r="C16" s="17" t="s">
        <v>12</v>
      </c>
      <c r="D16" s="18"/>
      <c r="E16" s="18"/>
      <c r="F16" s="22"/>
      <c r="G16" s="22"/>
      <c r="H16" s="22"/>
      <c r="I16" s="22"/>
      <c r="J16" s="14"/>
      <c r="K16" s="273">
        <f>K15-K14</f>
        <v>88</v>
      </c>
      <c r="L16" s="274"/>
      <c r="M16" s="274"/>
      <c r="N16" s="274"/>
      <c r="O16" s="274"/>
      <c r="P16" s="274"/>
      <c r="Q16" s="274"/>
      <c r="R16" s="274"/>
      <c r="S16" s="274"/>
      <c r="T16" s="274"/>
      <c r="U16" s="274"/>
      <c r="V16" s="274"/>
      <c r="W16" s="275"/>
      <c r="X16" s="2"/>
      <c r="Y16" s="3"/>
    </row>
    <row r="17" spans="1:222">
      <c r="B17" s="8"/>
      <c r="C17" s="25" t="s">
        <v>13</v>
      </c>
      <c r="D17" s="21"/>
      <c r="E17" s="21"/>
      <c r="F17" s="22"/>
      <c r="G17" s="22"/>
      <c r="H17" s="22"/>
      <c r="I17" s="22"/>
      <c r="J17" s="14"/>
      <c r="K17" s="261">
        <f>SUM(G31:J31)</f>
        <v>0</v>
      </c>
      <c r="L17" s="262"/>
      <c r="M17" s="262"/>
      <c r="N17" s="262"/>
      <c r="O17" s="262"/>
      <c r="P17" s="262"/>
      <c r="Q17" s="262"/>
      <c r="R17" s="262"/>
      <c r="S17" s="262"/>
      <c r="T17" s="262"/>
      <c r="U17" s="262"/>
      <c r="V17" s="262"/>
      <c r="W17" s="263"/>
      <c r="X17" s="2"/>
      <c r="Y17" s="3"/>
    </row>
    <row r="18" spans="1:222">
      <c r="B18" s="8"/>
      <c r="C18" s="25" t="s">
        <v>14</v>
      </c>
      <c r="D18" s="21"/>
      <c r="E18" s="21"/>
      <c r="F18" s="22"/>
      <c r="G18" s="22"/>
      <c r="H18" s="22"/>
      <c r="I18" s="22"/>
      <c r="J18" s="14"/>
      <c r="K18" s="261">
        <f>SUM(G39:W39)</f>
        <v>1222000000</v>
      </c>
      <c r="L18" s="262"/>
      <c r="M18" s="262"/>
      <c r="N18" s="262"/>
      <c r="O18" s="262"/>
      <c r="P18" s="262"/>
      <c r="Q18" s="262"/>
      <c r="R18" s="262"/>
      <c r="S18" s="262"/>
      <c r="T18" s="262"/>
      <c r="U18" s="262"/>
      <c r="V18" s="262"/>
      <c r="W18" s="263"/>
      <c r="X18" s="2"/>
      <c r="Y18" s="3"/>
    </row>
    <row r="19" spans="1:222">
      <c r="B19" s="8"/>
      <c r="C19" s="17" t="s">
        <v>15</v>
      </c>
      <c r="D19" s="18"/>
      <c r="E19" s="18"/>
      <c r="F19" s="13"/>
      <c r="G19" s="13"/>
      <c r="H19" s="13"/>
      <c r="I19" s="13"/>
      <c r="J19" s="14"/>
      <c r="K19" s="261">
        <f>SUM(G44:J44)</f>
        <v>1170098724.4949999</v>
      </c>
      <c r="L19" s="262"/>
      <c r="M19" s="262"/>
      <c r="N19" s="262"/>
      <c r="O19" s="262"/>
      <c r="P19" s="262"/>
      <c r="Q19" s="262"/>
      <c r="R19" s="262"/>
      <c r="S19" s="262"/>
      <c r="T19" s="262"/>
      <c r="U19" s="262"/>
      <c r="V19" s="262"/>
      <c r="W19" s="263"/>
      <c r="X19" s="2"/>
      <c r="Y19" s="3"/>
    </row>
    <row r="20" spans="1:222" ht="15" thickBot="1">
      <c r="B20" s="8"/>
      <c r="C20" s="27" t="s">
        <v>16</v>
      </c>
      <c r="D20" s="28"/>
      <c r="E20" s="28"/>
      <c r="F20" s="28"/>
      <c r="G20" s="28"/>
      <c r="H20" s="28"/>
      <c r="I20" s="28"/>
      <c r="J20" s="29"/>
      <c r="K20" s="264" t="s">
        <v>378</v>
      </c>
      <c r="L20" s="265"/>
      <c r="M20" s="265"/>
      <c r="N20" s="265"/>
      <c r="O20" s="265"/>
      <c r="P20" s="265"/>
      <c r="Q20" s="265"/>
      <c r="R20" s="265"/>
      <c r="S20" s="265"/>
      <c r="T20" s="265"/>
      <c r="U20" s="265"/>
      <c r="V20" s="265"/>
      <c r="W20" s="266"/>
      <c r="X20" s="2"/>
      <c r="Y20" s="3"/>
    </row>
    <row r="21" spans="1:222" ht="15" thickBot="1">
      <c r="B21" s="8"/>
      <c r="C21" s="3"/>
      <c r="D21" s="3"/>
      <c r="E21" s="3"/>
      <c r="F21" s="3"/>
      <c r="G21" s="3"/>
      <c r="H21" s="3"/>
      <c r="I21" s="3"/>
      <c r="J21" s="3"/>
      <c r="K21" s="3"/>
      <c r="L21" s="3"/>
      <c r="M21" s="3"/>
      <c r="N21" s="3"/>
      <c r="O21" s="3"/>
      <c r="P21" s="3"/>
      <c r="Q21" s="3"/>
      <c r="R21" s="3"/>
      <c r="S21" s="3"/>
      <c r="T21" s="3"/>
      <c r="U21" s="3"/>
      <c r="V21" s="3"/>
      <c r="W21" s="2"/>
      <c r="X21" s="2"/>
      <c r="Y21" s="3"/>
    </row>
    <row r="22" spans="1:222">
      <c r="B22" s="8"/>
      <c r="C22" s="30" t="s">
        <v>17</v>
      </c>
      <c r="D22" s="31"/>
      <c r="E22" s="31"/>
      <c r="F22" s="31"/>
      <c r="G22" s="31"/>
      <c r="H22" s="31"/>
      <c r="I22" s="31"/>
      <c r="J22" s="31"/>
      <c r="K22" s="31"/>
      <c r="L22" s="31"/>
      <c r="M22" s="31"/>
      <c r="N22" s="31"/>
      <c r="O22" s="31"/>
      <c r="P22" s="31"/>
      <c r="Q22" s="31"/>
      <c r="R22" s="31"/>
      <c r="S22" s="31"/>
      <c r="T22" s="31"/>
      <c r="U22" s="31"/>
      <c r="V22" s="31"/>
      <c r="W22" s="32"/>
      <c r="X22" s="2"/>
      <c r="Y22" s="3"/>
    </row>
    <row r="23" spans="1:222">
      <c r="B23" s="8"/>
      <c r="C23" s="23" t="s">
        <v>18</v>
      </c>
      <c r="D23" s="33"/>
      <c r="E23" s="33"/>
      <c r="F23" s="33"/>
      <c r="G23" s="16" t="s">
        <v>19</v>
      </c>
      <c r="H23" s="16" t="s">
        <v>20</v>
      </c>
      <c r="I23" s="16" t="s">
        <v>21</v>
      </c>
      <c r="J23" s="16" t="s">
        <v>22</v>
      </c>
      <c r="K23" s="16" t="s">
        <v>19</v>
      </c>
      <c r="L23" s="16" t="s">
        <v>23</v>
      </c>
      <c r="M23" s="16" t="s">
        <v>24</v>
      </c>
      <c r="N23" s="16" t="s">
        <v>25</v>
      </c>
      <c r="O23" s="16" t="s">
        <v>26</v>
      </c>
      <c r="P23" s="16" t="s">
        <v>27</v>
      </c>
      <c r="Q23" s="16" t="s">
        <v>20</v>
      </c>
      <c r="R23" s="16" t="s">
        <v>20</v>
      </c>
      <c r="S23" s="16" t="s">
        <v>20</v>
      </c>
      <c r="T23" s="16" t="s">
        <v>21</v>
      </c>
      <c r="U23" s="34" t="s">
        <v>21</v>
      </c>
      <c r="V23" s="34" t="s">
        <v>21</v>
      </c>
      <c r="W23" s="35" t="s">
        <v>21</v>
      </c>
      <c r="X23" s="2"/>
      <c r="Y23" s="3"/>
    </row>
    <row r="24" spans="1:222">
      <c r="B24" s="8"/>
      <c r="C24" s="36" t="s">
        <v>28</v>
      </c>
      <c r="D24" s="37"/>
      <c r="E24" s="37"/>
      <c r="F24" s="37"/>
      <c r="G24" s="38" t="s">
        <v>29</v>
      </c>
      <c r="H24" s="38" t="s">
        <v>30</v>
      </c>
      <c r="I24" s="38" t="s">
        <v>31</v>
      </c>
      <c r="J24" s="38" t="s">
        <v>32</v>
      </c>
      <c r="K24" s="38" t="s">
        <v>33</v>
      </c>
      <c r="L24" s="38" t="s">
        <v>34</v>
      </c>
      <c r="M24" s="38" t="s">
        <v>35</v>
      </c>
      <c r="N24" s="38" t="s">
        <v>36</v>
      </c>
      <c r="O24" s="38" t="s">
        <v>37</v>
      </c>
      <c r="P24" s="38" t="s">
        <v>38</v>
      </c>
      <c r="Q24" s="38" t="s">
        <v>39</v>
      </c>
      <c r="R24" s="38" t="s">
        <v>40</v>
      </c>
      <c r="S24" s="38" t="s">
        <v>41</v>
      </c>
      <c r="T24" s="39" t="s">
        <v>42</v>
      </c>
      <c r="U24" s="40" t="s">
        <v>43</v>
      </c>
      <c r="V24" s="40" t="s">
        <v>44</v>
      </c>
      <c r="W24" s="41" t="s">
        <v>45</v>
      </c>
      <c r="X24" s="2"/>
      <c r="Y24" s="3"/>
    </row>
    <row r="25" spans="1:222">
      <c r="B25" s="8"/>
      <c r="C25" s="23" t="s">
        <v>46</v>
      </c>
      <c r="D25" s="33"/>
      <c r="E25" s="33"/>
      <c r="F25" s="33"/>
      <c r="G25" s="38" t="s">
        <v>47</v>
      </c>
      <c r="H25" s="38" t="s">
        <v>48</v>
      </c>
      <c r="I25" s="38" t="s">
        <v>49</v>
      </c>
      <c r="J25" s="38" t="s">
        <v>50</v>
      </c>
      <c r="K25" s="38" t="s">
        <v>51</v>
      </c>
      <c r="L25" s="38" t="s">
        <v>52</v>
      </c>
      <c r="M25" s="38" t="s">
        <v>53</v>
      </c>
      <c r="N25" s="38" t="s">
        <v>54</v>
      </c>
      <c r="O25" s="38" t="s">
        <v>55</v>
      </c>
      <c r="P25" s="38" t="s">
        <v>56</v>
      </c>
      <c r="Q25" s="38" t="s">
        <v>57</v>
      </c>
      <c r="R25" s="38" t="s">
        <v>58</v>
      </c>
      <c r="S25" s="38" t="s">
        <v>59</v>
      </c>
      <c r="T25" s="42" t="s">
        <v>60</v>
      </c>
      <c r="U25" s="43" t="s">
        <v>61</v>
      </c>
      <c r="V25" s="43" t="s">
        <v>62</v>
      </c>
      <c r="W25" s="44" t="s">
        <v>63</v>
      </c>
      <c r="X25" s="2"/>
      <c r="Y25" s="3"/>
    </row>
    <row r="26" spans="1:222">
      <c r="B26" s="8"/>
      <c r="C26" s="23" t="s">
        <v>64</v>
      </c>
      <c r="D26" s="33"/>
      <c r="E26" s="33"/>
      <c r="F26" s="33"/>
      <c r="G26" s="38" t="s">
        <v>65</v>
      </c>
      <c r="H26" s="38" t="s">
        <v>65</v>
      </c>
      <c r="I26" s="38" t="s">
        <v>65</v>
      </c>
      <c r="J26" s="38" t="s">
        <v>65</v>
      </c>
      <c r="K26" s="38" t="s">
        <v>65</v>
      </c>
      <c r="L26" s="38" t="s">
        <v>65</v>
      </c>
      <c r="M26" s="38" t="s">
        <v>65</v>
      </c>
      <c r="N26" s="38" t="s">
        <v>66</v>
      </c>
      <c r="O26" s="38" t="s">
        <v>65</v>
      </c>
      <c r="P26" s="38" t="s">
        <v>65</v>
      </c>
      <c r="Q26" s="38" t="s">
        <v>65</v>
      </c>
      <c r="R26" s="38" t="s">
        <v>65</v>
      </c>
      <c r="S26" s="38" t="s">
        <v>65</v>
      </c>
      <c r="T26" s="45" t="s">
        <v>65</v>
      </c>
      <c r="U26" s="46" t="s">
        <v>65</v>
      </c>
      <c r="V26" s="46" t="s">
        <v>65</v>
      </c>
      <c r="W26" s="41" t="s">
        <v>65</v>
      </c>
      <c r="X26" s="2"/>
      <c r="Y26" s="3"/>
    </row>
    <row r="27" spans="1:222">
      <c r="B27" s="8"/>
      <c r="C27" s="36" t="s">
        <v>67</v>
      </c>
      <c r="D27" s="37"/>
      <c r="E27" s="37"/>
      <c r="F27" s="37"/>
      <c r="G27" s="47">
        <v>0.02</v>
      </c>
      <c r="H27" s="48">
        <v>2.47E-2</v>
      </c>
      <c r="I27" s="48">
        <v>3.5499999999999997E-2</v>
      </c>
      <c r="J27" s="48">
        <v>4.8000000000000001E-2</v>
      </c>
      <c r="K27" s="48">
        <v>2.1999999999999999E-2</v>
      </c>
      <c r="L27" s="48">
        <v>2.35E-2</v>
      </c>
      <c r="M27" s="48">
        <v>2.5000000000000001E-2</v>
      </c>
      <c r="N27" s="49" t="s">
        <v>68</v>
      </c>
      <c r="O27" s="48">
        <v>2.35E-2</v>
      </c>
      <c r="P27" s="48">
        <v>1.6E-2</v>
      </c>
      <c r="Q27" s="48">
        <v>2.5000000000000001E-2</v>
      </c>
      <c r="R27" s="48">
        <v>2.7400000000000001E-2</v>
      </c>
      <c r="S27" s="48">
        <v>2.75E-2</v>
      </c>
      <c r="T27" s="50">
        <v>3.7999999999999999E-2</v>
      </c>
      <c r="U27" s="51">
        <v>0.04</v>
      </c>
      <c r="V27" s="51">
        <v>3.6999999999999998E-2</v>
      </c>
      <c r="W27" s="52">
        <v>3.6999999999999998E-2</v>
      </c>
      <c r="X27" s="2"/>
      <c r="Y27" s="3"/>
    </row>
    <row r="28" spans="1:222">
      <c r="B28" s="8"/>
      <c r="C28" s="23" t="s">
        <v>69</v>
      </c>
      <c r="D28" s="33"/>
      <c r="E28" s="33"/>
      <c r="F28" s="33"/>
      <c r="G28" s="47">
        <f t="shared" ref="G28:M28" si="0">G27*1.3</f>
        <v>2.6000000000000002E-2</v>
      </c>
      <c r="H28" s="48">
        <f t="shared" si="0"/>
        <v>3.211E-2</v>
      </c>
      <c r="I28" s="48">
        <f>I27*1.3</f>
        <v>4.6149999999999997E-2</v>
      </c>
      <c r="J28" s="48">
        <f>J27*1.3</f>
        <v>6.2400000000000004E-2</v>
      </c>
      <c r="K28" s="48">
        <f t="shared" si="0"/>
        <v>2.86E-2</v>
      </c>
      <c r="L28" s="48">
        <f t="shared" si="0"/>
        <v>3.0550000000000001E-2</v>
      </c>
      <c r="M28" s="48">
        <f t="shared" si="0"/>
        <v>3.2500000000000001E-2</v>
      </c>
      <c r="N28" s="49" t="s">
        <v>68</v>
      </c>
      <c r="O28" s="48">
        <v>3.0599999999999999E-2</v>
      </c>
      <c r="P28" s="48">
        <f>P27*1.3</f>
        <v>2.0800000000000003E-2</v>
      </c>
      <c r="Q28" s="48">
        <f>Q27*1.3</f>
        <v>3.2500000000000001E-2</v>
      </c>
      <c r="R28" s="48">
        <f>R27*1.3</f>
        <v>3.5619999999999999E-2</v>
      </c>
      <c r="S28" s="48">
        <v>3.5799999999999998E-2</v>
      </c>
      <c r="T28" s="50">
        <f>T27*1.3</f>
        <v>4.9399999999999999E-2</v>
      </c>
      <c r="U28" s="51">
        <v>5.2000000000000005E-2</v>
      </c>
      <c r="V28" s="51">
        <v>4.8099999999999997E-2</v>
      </c>
      <c r="W28" s="52">
        <f>W27*1.3</f>
        <v>4.8099999999999997E-2</v>
      </c>
      <c r="X28" s="2"/>
      <c r="Y28" s="3"/>
    </row>
    <row r="29" spans="1:222">
      <c r="B29" s="8"/>
      <c r="C29" s="23" t="s">
        <v>70</v>
      </c>
      <c r="D29" s="33"/>
      <c r="E29" s="33"/>
      <c r="F29" s="33"/>
      <c r="G29" s="47">
        <v>6.7500000000000004E-2</v>
      </c>
      <c r="H29" s="47">
        <v>6.7500000000000004E-2</v>
      </c>
      <c r="I29" s="47">
        <v>6.7500000000000004E-2</v>
      </c>
      <c r="J29" s="47">
        <v>6.7500000000000004E-2</v>
      </c>
      <c r="K29" s="48">
        <f>'Servicer Report'!$J$16</f>
        <v>6.6669999999999993E-2</v>
      </c>
      <c r="L29" s="48">
        <v>6.6669999999999993E-2</v>
      </c>
      <c r="M29" s="48">
        <v>6.6669999999999993E-2</v>
      </c>
      <c r="N29" s="48" t="s">
        <v>68</v>
      </c>
      <c r="O29" s="48">
        <v>6.6669999999999993E-2</v>
      </c>
      <c r="P29" s="48">
        <v>6.6669999999999993E-2</v>
      </c>
      <c r="Q29" s="48">
        <v>6.6669999999999993E-2</v>
      </c>
      <c r="R29" s="48">
        <v>6.6669999999999993E-2</v>
      </c>
      <c r="S29" s="48">
        <v>6.6669999999999993E-2</v>
      </c>
      <c r="T29" s="48">
        <v>6.6669999999999993E-2</v>
      </c>
      <c r="U29" s="48">
        <v>6.6669999999999993E-2</v>
      </c>
      <c r="V29" s="48">
        <v>6.6669999999999993E-2</v>
      </c>
      <c r="W29" s="53">
        <v>6.6669999999999993E-2</v>
      </c>
      <c r="X29" s="2"/>
      <c r="Y29" s="3"/>
    </row>
    <row r="30" spans="1:222">
      <c r="B30" s="8"/>
      <c r="C30" s="23" t="s">
        <v>71</v>
      </c>
      <c r="D30" s="33"/>
      <c r="E30" s="33"/>
      <c r="F30" s="33"/>
      <c r="G30" s="54">
        <f>G29+G27</f>
        <v>8.7500000000000008E-2</v>
      </c>
      <c r="H30" s="55">
        <f>H29+H27</f>
        <v>9.2200000000000004E-2</v>
      </c>
      <c r="I30" s="55">
        <f>I29+I27</f>
        <v>0.10300000000000001</v>
      </c>
      <c r="J30" s="55">
        <f>J29+J27</f>
        <v>0.11550000000000001</v>
      </c>
      <c r="K30" s="48">
        <f t="shared" ref="K30" si="1">K29+K27</f>
        <v>8.8669999999999999E-2</v>
      </c>
      <c r="L30" s="48">
        <f>L29+L27</f>
        <v>9.017E-2</v>
      </c>
      <c r="M30" s="48">
        <f t="shared" ref="M30:W30" si="2">M29+M27</f>
        <v>9.1670000000000001E-2</v>
      </c>
      <c r="N30" s="48">
        <v>0.10235</v>
      </c>
      <c r="O30" s="48">
        <f t="shared" si="2"/>
        <v>9.017E-2</v>
      </c>
      <c r="P30" s="48">
        <f t="shared" si="2"/>
        <v>8.2669999999999993E-2</v>
      </c>
      <c r="Q30" s="48">
        <f t="shared" si="2"/>
        <v>9.1670000000000001E-2</v>
      </c>
      <c r="R30" s="48">
        <f t="shared" si="2"/>
        <v>9.4069999999999987E-2</v>
      </c>
      <c r="S30" s="48">
        <f t="shared" si="2"/>
        <v>9.416999999999999E-2</v>
      </c>
      <c r="T30" s="48">
        <f t="shared" si="2"/>
        <v>0.10466999999999999</v>
      </c>
      <c r="U30" s="48">
        <f t="shared" si="2"/>
        <v>0.10666999999999999</v>
      </c>
      <c r="V30" s="48">
        <f t="shared" si="2"/>
        <v>0.10366999999999998</v>
      </c>
      <c r="W30" s="53">
        <f t="shared" si="2"/>
        <v>0.10366999999999998</v>
      </c>
      <c r="X30" s="2"/>
      <c r="Y30" s="3"/>
    </row>
    <row r="31" spans="1:222">
      <c r="B31" s="8"/>
      <c r="C31" s="36" t="s">
        <v>72</v>
      </c>
      <c r="D31" s="37"/>
      <c r="E31" s="37"/>
      <c r="F31" s="37"/>
      <c r="G31" s="56">
        <v>0</v>
      </c>
      <c r="H31" s="56">
        <v>0</v>
      </c>
      <c r="I31" s="56">
        <v>0</v>
      </c>
      <c r="J31" s="56">
        <v>0</v>
      </c>
      <c r="K31" s="56">
        <v>309000000</v>
      </c>
      <c r="L31" s="56">
        <v>283000000</v>
      </c>
      <c r="M31" s="56">
        <v>135000000</v>
      </c>
      <c r="N31" s="56">
        <v>60000000</v>
      </c>
      <c r="O31" s="56">
        <v>135000000</v>
      </c>
      <c r="P31" s="56">
        <v>167173042</v>
      </c>
      <c r="Q31" s="56">
        <v>73000000</v>
      </c>
      <c r="R31" s="56">
        <v>118000000</v>
      </c>
      <c r="S31" s="56">
        <v>30000000</v>
      </c>
      <c r="T31" s="57">
        <v>25000000</v>
      </c>
      <c r="U31" s="58">
        <v>12000000</v>
      </c>
      <c r="V31" s="58">
        <v>10000000</v>
      </c>
      <c r="W31" s="59">
        <v>18000000</v>
      </c>
      <c r="X31" s="2"/>
      <c r="Y31" s="3"/>
    </row>
    <row r="32" spans="1:222" s="61" customFormat="1">
      <c r="A32" s="1"/>
      <c r="B32" s="8"/>
      <c r="C32" s="36" t="s">
        <v>73</v>
      </c>
      <c r="D32" s="37"/>
      <c r="E32" s="37"/>
      <c r="F32" s="37"/>
      <c r="G32" s="60" t="s">
        <v>68</v>
      </c>
      <c r="H32" s="49" t="s">
        <v>68</v>
      </c>
      <c r="I32" s="49" t="s">
        <v>68</v>
      </c>
      <c r="J32" s="49" t="s">
        <v>68</v>
      </c>
      <c r="K32" s="48">
        <f t="shared" ref="K32:O32" si="3">K31/SUM($G$31:$W$31)</f>
        <v>0.22469899464477722</v>
      </c>
      <c r="L32" s="48">
        <f t="shared" si="3"/>
        <v>0.20579228312126846</v>
      </c>
      <c r="M32" s="48">
        <f t="shared" si="3"/>
        <v>9.8169463679757041E-2</v>
      </c>
      <c r="N32" s="48">
        <f t="shared" si="3"/>
        <v>4.3630872746558684E-2</v>
      </c>
      <c r="O32" s="48">
        <f t="shared" si="3"/>
        <v>9.8169463679757041E-2</v>
      </c>
      <c r="P32" s="48">
        <f>P31/SUM($G$31:$W$31)</f>
        <v>0.12156509536928517</v>
      </c>
      <c r="Q32" s="48">
        <f>Q31/SUM($E$31:$W$31)</f>
        <v>5.3084228508313062E-2</v>
      </c>
      <c r="R32" s="48">
        <f>R31/SUM($G$31:$W$31)</f>
        <v>8.5807383068232074E-2</v>
      </c>
      <c r="S32" s="48">
        <f>S31/SUM($G$31:$W$31)</f>
        <v>2.1815436373279342E-2</v>
      </c>
      <c r="T32" s="50">
        <f>T31/SUM($E$31:$W$31)</f>
        <v>1.8179530311066117E-2</v>
      </c>
      <c r="U32" s="51">
        <f>U31/SUM($E$31:$W$31)</f>
        <v>8.7261745493117365E-3</v>
      </c>
      <c r="V32" s="51">
        <f>V31/SUM($E$31:$W$31)</f>
        <v>7.2718121244264473E-3</v>
      </c>
      <c r="W32" s="52">
        <f>W31/SUM($G$31:$W$31)</f>
        <v>1.3089261823967606E-2</v>
      </c>
      <c r="X32" s="2"/>
      <c r="Y32" s="3"/>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row>
    <row r="33" spans="1:222" s="61" customFormat="1">
      <c r="A33" s="1"/>
      <c r="B33" s="8"/>
      <c r="C33" s="36" t="s">
        <v>74</v>
      </c>
      <c r="D33" s="37"/>
      <c r="E33" s="37"/>
      <c r="F33" s="37"/>
      <c r="G33" s="60" t="s">
        <v>68</v>
      </c>
      <c r="H33" s="49" t="s">
        <v>68</v>
      </c>
      <c r="I33" s="49" t="s">
        <v>68</v>
      </c>
      <c r="J33" s="49" t="s">
        <v>68</v>
      </c>
      <c r="K33" s="48">
        <f t="shared" ref="K33:W33" si="4">K31/SUM($K$31:$W$31,$U$238)</f>
        <v>0.22469899464477722</v>
      </c>
      <c r="L33" s="48">
        <f t="shared" si="4"/>
        <v>0.20579228312126846</v>
      </c>
      <c r="M33" s="48">
        <f t="shared" si="4"/>
        <v>9.8169463679757041E-2</v>
      </c>
      <c r="N33" s="48">
        <f t="shared" si="4"/>
        <v>4.3630872746558684E-2</v>
      </c>
      <c r="O33" s="48">
        <f t="shared" si="4"/>
        <v>9.8169463679757041E-2</v>
      </c>
      <c r="P33" s="48">
        <f t="shared" si="4"/>
        <v>0.12156509536928517</v>
      </c>
      <c r="Q33" s="48">
        <f t="shared" si="4"/>
        <v>5.3084228508313062E-2</v>
      </c>
      <c r="R33" s="48">
        <f t="shared" si="4"/>
        <v>8.5807383068232074E-2</v>
      </c>
      <c r="S33" s="48">
        <f t="shared" si="4"/>
        <v>2.1815436373279342E-2</v>
      </c>
      <c r="T33" s="50">
        <f t="shared" si="4"/>
        <v>1.8179530311066117E-2</v>
      </c>
      <c r="U33" s="51">
        <f t="shared" si="4"/>
        <v>8.7261745493117365E-3</v>
      </c>
      <c r="V33" s="51">
        <f t="shared" si="4"/>
        <v>7.2718121244264473E-3</v>
      </c>
      <c r="W33" s="52">
        <f t="shared" si="4"/>
        <v>1.3089261823967606E-2</v>
      </c>
      <c r="X33" s="2"/>
      <c r="Y33" s="3"/>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row>
    <row r="34" spans="1:222">
      <c r="B34" s="8"/>
      <c r="C34" s="62" t="s">
        <v>75</v>
      </c>
      <c r="D34" s="33"/>
      <c r="E34" s="33"/>
      <c r="F34" s="33"/>
      <c r="G34" s="60" t="s">
        <v>68</v>
      </c>
      <c r="H34" s="49" t="s">
        <v>68</v>
      </c>
      <c r="I34" s="49" t="s">
        <v>68</v>
      </c>
      <c r="J34" s="49" t="s">
        <v>68</v>
      </c>
      <c r="K34" s="48">
        <f>1-SUM($K$33:$M$33,$O$33:$P$33)</f>
        <v>0.25160469950515518</v>
      </c>
      <c r="L34" s="48">
        <f t="shared" ref="L34:P34" si="5">1-SUM($K$33:$M$33,$O$33:$P$33)</f>
        <v>0.25160469950515518</v>
      </c>
      <c r="M34" s="48">
        <f t="shared" si="5"/>
        <v>0.25160469950515518</v>
      </c>
      <c r="N34" s="48">
        <f>1-SUM($K$33:$P$33)</f>
        <v>0.20797382675859655</v>
      </c>
      <c r="O34" s="48">
        <f t="shared" si="5"/>
        <v>0.25160469950515518</v>
      </c>
      <c r="P34" s="48">
        <f t="shared" si="5"/>
        <v>0.25160469950515518</v>
      </c>
      <c r="Q34" s="48">
        <f>1-SUM($K$33:$S$33)</f>
        <v>4.7266778808772059E-2</v>
      </c>
      <c r="R34" s="48">
        <f t="shared" ref="R34:S34" si="6">1-SUM($K$33:$S$33)</f>
        <v>4.7266778808772059E-2</v>
      </c>
      <c r="S34" s="48">
        <f t="shared" si="6"/>
        <v>4.7266778808772059E-2</v>
      </c>
      <c r="T34" s="48">
        <f>1-SUM($K$33:$W$33)</f>
        <v>0</v>
      </c>
      <c r="U34" s="48">
        <f t="shared" ref="U34:W34" si="7">1-SUM($K$33:$W$33)</f>
        <v>0</v>
      </c>
      <c r="V34" s="63">
        <f t="shared" si="7"/>
        <v>0</v>
      </c>
      <c r="W34" s="52">
        <f t="shared" si="7"/>
        <v>0</v>
      </c>
      <c r="X34" s="2"/>
      <c r="Y34" s="3"/>
    </row>
    <row r="35" spans="1:222">
      <c r="B35" s="8"/>
      <c r="C35" s="36" t="s">
        <v>76</v>
      </c>
      <c r="D35" s="37"/>
      <c r="E35" s="37"/>
      <c r="F35" s="37"/>
      <c r="G35" s="56">
        <v>882000000</v>
      </c>
      <c r="H35" s="56">
        <v>221000000</v>
      </c>
      <c r="I35" s="56">
        <v>65000000</v>
      </c>
      <c r="J35" s="56">
        <v>54000000</v>
      </c>
      <c r="K35" s="56">
        <v>0</v>
      </c>
      <c r="L35" s="56">
        <v>0</v>
      </c>
      <c r="M35" s="56">
        <v>0</v>
      </c>
      <c r="N35" s="56">
        <v>0</v>
      </c>
      <c r="O35" s="56">
        <v>0</v>
      </c>
      <c r="P35" s="56">
        <v>0</v>
      </c>
      <c r="Q35" s="56">
        <v>0</v>
      </c>
      <c r="R35" s="56">
        <v>0</v>
      </c>
      <c r="S35" s="56">
        <v>0</v>
      </c>
      <c r="T35" s="57">
        <v>0</v>
      </c>
      <c r="U35" s="58">
        <v>0</v>
      </c>
      <c r="V35" s="58">
        <v>0</v>
      </c>
      <c r="W35" s="59">
        <v>0</v>
      </c>
      <c r="X35" s="2"/>
      <c r="Y35" s="3"/>
    </row>
    <row r="36" spans="1:222" s="61" customFormat="1">
      <c r="A36" s="1"/>
      <c r="B36" s="8"/>
      <c r="C36" s="36" t="s">
        <v>77</v>
      </c>
      <c r="D36" s="37"/>
      <c r="E36" s="37"/>
      <c r="F36" s="37"/>
      <c r="G36" s="60">
        <f>G35/SUM($G$35:$W$35)</f>
        <v>0.72176759410801961</v>
      </c>
      <c r="H36" s="49">
        <f>H35/SUM($G$35:$W$35)</f>
        <v>0.18085106382978725</v>
      </c>
      <c r="I36" s="49">
        <f>I35/SUM($G$35:$W$35)</f>
        <v>5.3191489361702128E-2</v>
      </c>
      <c r="J36" s="49">
        <f>J35/SUM($G$35:$W$35)</f>
        <v>4.4189852700491E-2</v>
      </c>
      <c r="K36" s="49">
        <f t="shared" ref="K36" si="8">K35/SUM($G$31:$W$31)</f>
        <v>0</v>
      </c>
      <c r="L36" s="49" t="s">
        <v>68</v>
      </c>
      <c r="M36" s="49" t="s">
        <v>68</v>
      </c>
      <c r="N36" s="49" t="s">
        <v>68</v>
      </c>
      <c r="O36" s="49" t="s">
        <v>68</v>
      </c>
      <c r="P36" s="49" t="s">
        <v>68</v>
      </c>
      <c r="Q36" s="49" t="s">
        <v>68</v>
      </c>
      <c r="R36" s="49" t="s">
        <v>68</v>
      </c>
      <c r="S36" s="49" t="s">
        <v>68</v>
      </c>
      <c r="T36" s="64" t="s">
        <v>68</v>
      </c>
      <c r="U36" s="65" t="s">
        <v>68</v>
      </c>
      <c r="V36" s="65" t="s">
        <v>68</v>
      </c>
      <c r="W36" s="66" t="s">
        <v>68</v>
      </c>
      <c r="X36" s="2"/>
      <c r="Y36" s="3"/>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row>
    <row r="37" spans="1:222" s="61" customFormat="1">
      <c r="A37" s="1"/>
      <c r="B37" s="8"/>
      <c r="C37" s="36" t="s">
        <v>78</v>
      </c>
      <c r="D37" s="37"/>
      <c r="E37" s="37"/>
      <c r="F37" s="37"/>
      <c r="G37" s="60">
        <v>0.66748356773019457</v>
      </c>
      <c r="H37" s="60">
        <v>0.16724928397774716</v>
      </c>
      <c r="I37" s="60">
        <v>4.9190965875807992E-2</v>
      </c>
      <c r="J37" s="60">
        <v>4.0866340881440484E-2</v>
      </c>
      <c r="K37" s="49">
        <f>K35/SUM($K$31:$W$31,$U$238)</f>
        <v>0</v>
      </c>
      <c r="L37" s="49" t="s">
        <v>68</v>
      </c>
      <c r="M37" s="49" t="s">
        <v>68</v>
      </c>
      <c r="N37" s="49" t="s">
        <v>68</v>
      </c>
      <c r="O37" s="49" t="s">
        <v>68</v>
      </c>
      <c r="P37" s="49" t="s">
        <v>68</v>
      </c>
      <c r="Q37" s="49" t="s">
        <v>68</v>
      </c>
      <c r="R37" s="49" t="s">
        <v>68</v>
      </c>
      <c r="S37" s="49" t="s">
        <v>68</v>
      </c>
      <c r="T37" s="64" t="s">
        <v>68</v>
      </c>
      <c r="U37" s="65" t="s">
        <v>68</v>
      </c>
      <c r="V37" s="65" t="s">
        <v>68</v>
      </c>
      <c r="W37" s="66" t="s">
        <v>68</v>
      </c>
      <c r="X37" s="2"/>
      <c r="Y37" s="3"/>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row>
    <row r="38" spans="1:222" s="61" customFormat="1">
      <c r="A38" s="1"/>
      <c r="B38" s="8"/>
      <c r="C38" s="62" t="s">
        <v>79</v>
      </c>
      <c r="D38" s="33"/>
      <c r="E38" s="33"/>
      <c r="F38" s="33"/>
      <c r="G38" s="60">
        <f>1-G37</f>
        <v>0.33251643226980543</v>
      </c>
      <c r="H38" s="60">
        <f>1-SUM($G$37:$H37)</f>
        <v>0.16526714829205824</v>
      </c>
      <c r="I38" s="60">
        <f>1-SUM($G$37:$I37)</f>
        <v>0.11607618241625028</v>
      </c>
      <c r="J38" s="60">
        <f>1-SUM($G$37:$J37)</f>
        <v>7.5209841534809807E-2</v>
      </c>
      <c r="K38" s="49">
        <f>1-SUM($K$33:$M$33,$O$33:$P$33)</f>
        <v>0.25160469950515518</v>
      </c>
      <c r="L38" s="49" t="s">
        <v>68</v>
      </c>
      <c r="M38" s="49" t="s">
        <v>68</v>
      </c>
      <c r="N38" s="49" t="s">
        <v>68</v>
      </c>
      <c r="O38" s="49" t="s">
        <v>68</v>
      </c>
      <c r="P38" s="49" t="s">
        <v>68</v>
      </c>
      <c r="Q38" s="49" t="s">
        <v>68</v>
      </c>
      <c r="R38" s="49" t="s">
        <v>68</v>
      </c>
      <c r="S38" s="49" t="s">
        <v>68</v>
      </c>
      <c r="T38" s="64" t="s">
        <v>68</v>
      </c>
      <c r="U38" s="65" t="s">
        <v>68</v>
      </c>
      <c r="V38" s="65" t="s">
        <v>68</v>
      </c>
      <c r="W38" s="66" t="s">
        <v>68</v>
      </c>
      <c r="X38" s="2"/>
      <c r="Y38" s="3"/>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row>
    <row r="39" spans="1:222">
      <c r="B39" s="8"/>
      <c r="C39" s="23" t="s">
        <v>80</v>
      </c>
      <c r="D39" s="33"/>
      <c r="E39" s="33"/>
      <c r="F39" s="33"/>
      <c r="G39" s="56">
        <v>882000000</v>
      </c>
      <c r="H39" s="56">
        <v>221000000</v>
      </c>
      <c r="I39" s="56">
        <v>65000000</v>
      </c>
      <c r="J39" s="56">
        <v>54000000</v>
      </c>
      <c r="K39" s="56">
        <v>0</v>
      </c>
      <c r="L39" s="56">
        <v>0</v>
      </c>
      <c r="M39" s="56">
        <v>0</v>
      </c>
      <c r="N39" s="56">
        <v>0</v>
      </c>
      <c r="O39" s="56">
        <v>0</v>
      </c>
      <c r="P39" s="56">
        <v>0</v>
      </c>
      <c r="Q39" s="56">
        <v>0</v>
      </c>
      <c r="R39" s="56">
        <v>0</v>
      </c>
      <c r="S39" s="56">
        <v>0</v>
      </c>
      <c r="T39" s="57">
        <v>0</v>
      </c>
      <c r="U39" s="58">
        <v>0</v>
      </c>
      <c r="V39" s="58">
        <v>0</v>
      </c>
      <c r="W39" s="59">
        <v>0</v>
      </c>
      <c r="X39" s="2"/>
      <c r="Y39" s="3"/>
    </row>
    <row r="40" spans="1:222">
      <c r="B40" s="8"/>
      <c r="C40" s="23" t="s">
        <v>81</v>
      </c>
      <c r="D40" s="33"/>
      <c r="E40" s="33"/>
      <c r="F40" s="33"/>
      <c r="G40" s="56">
        <f>G39*G30*44/365</f>
        <v>9303287.6712328773</v>
      </c>
      <c r="H40" s="56">
        <f t="shared" ref="H40:J40" si="9">H39*H30*44/365</f>
        <v>2456309.0410958906</v>
      </c>
      <c r="I40" s="56">
        <f t="shared" si="9"/>
        <v>807068.4931506851</v>
      </c>
      <c r="J40" s="56">
        <f t="shared" si="9"/>
        <v>751857.53424657532</v>
      </c>
      <c r="K40" s="56">
        <f>K39*K30*$K$16/365</f>
        <v>0</v>
      </c>
      <c r="L40" s="56">
        <v>0</v>
      </c>
      <c r="M40" s="56">
        <v>0</v>
      </c>
      <c r="N40" s="56">
        <v>0</v>
      </c>
      <c r="O40" s="56">
        <v>0</v>
      </c>
      <c r="P40" s="56">
        <v>0</v>
      </c>
      <c r="Q40" s="56">
        <v>0</v>
      </c>
      <c r="R40" s="56">
        <v>0</v>
      </c>
      <c r="S40" s="56">
        <v>0</v>
      </c>
      <c r="T40" s="56">
        <v>0</v>
      </c>
      <c r="U40" s="56">
        <v>0</v>
      </c>
      <c r="V40" s="56">
        <v>0</v>
      </c>
      <c r="W40" s="67">
        <v>0</v>
      </c>
      <c r="X40" s="2"/>
      <c r="Y40" s="3"/>
    </row>
    <row r="41" spans="1:222">
      <c r="B41" s="8"/>
      <c r="C41" s="23" t="s">
        <v>82</v>
      </c>
      <c r="D41" s="33"/>
      <c r="E41" s="33"/>
      <c r="F41" s="33"/>
      <c r="G41" s="56">
        <f t="shared" ref="G41:K41" si="10">G40</f>
        <v>9303287.6712328773</v>
      </c>
      <c r="H41" s="56">
        <f t="shared" si="10"/>
        <v>2456309.0410958906</v>
      </c>
      <c r="I41" s="56">
        <f t="shared" si="10"/>
        <v>807068.4931506851</v>
      </c>
      <c r="J41" s="56">
        <f t="shared" si="10"/>
        <v>751857.53424657532</v>
      </c>
      <c r="K41" s="56">
        <f t="shared" si="10"/>
        <v>0</v>
      </c>
      <c r="L41" s="56">
        <v>0</v>
      </c>
      <c r="M41" s="56">
        <v>0</v>
      </c>
      <c r="N41" s="56">
        <v>0</v>
      </c>
      <c r="O41" s="56">
        <v>0</v>
      </c>
      <c r="P41" s="56">
        <v>0</v>
      </c>
      <c r="Q41" s="56">
        <v>0</v>
      </c>
      <c r="R41" s="56">
        <v>0</v>
      </c>
      <c r="S41" s="56">
        <v>0</v>
      </c>
      <c r="T41" s="56">
        <v>0</v>
      </c>
      <c r="U41" s="56">
        <v>0</v>
      </c>
      <c r="V41" s="56">
        <v>0</v>
      </c>
      <c r="W41" s="67">
        <v>0</v>
      </c>
      <c r="X41" s="2"/>
      <c r="Y41" s="3"/>
    </row>
    <row r="42" spans="1:222">
      <c r="B42" s="8"/>
      <c r="C42" s="23" t="s">
        <v>83</v>
      </c>
      <c r="D42" s="33"/>
      <c r="E42" s="33"/>
      <c r="F42" s="33"/>
      <c r="G42" s="56">
        <f t="shared" ref="G42:W42" si="11">G40-G41</f>
        <v>0</v>
      </c>
      <c r="H42" s="56">
        <f t="shared" si="11"/>
        <v>0</v>
      </c>
      <c r="I42" s="56">
        <f t="shared" si="11"/>
        <v>0</v>
      </c>
      <c r="J42" s="56">
        <f t="shared" si="11"/>
        <v>0</v>
      </c>
      <c r="K42" s="56">
        <f t="shared" si="11"/>
        <v>0</v>
      </c>
      <c r="L42" s="56">
        <f t="shared" si="11"/>
        <v>0</v>
      </c>
      <c r="M42" s="56">
        <f t="shared" si="11"/>
        <v>0</v>
      </c>
      <c r="N42" s="56">
        <f t="shared" si="11"/>
        <v>0</v>
      </c>
      <c r="O42" s="56">
        <f t="shared" si="11"/>
        <v>0</v>
      </c>
      <c r="P42" s="56">
        <f t="shared" si="11"/>
        <v>0</v>
      </c>
      <c r="Q42" s="56">
        <f t="shared" si="11"/>
        <v>0</v>
      </c>
      <c r="R42" s="56">
        <f t="shared" si="11"/>
        <v>0</v>
      </c>
      <c r="S42" s="56">
        <f t="shared" si="11"/>
        <v>0</v>
      </c>
      <c r="T42" s="68">
        <f t="shared" si="11"/>
        <v>0</v>
      </c>
      <c r="U42" s="68">
        <f t="shared" si="11"/>
        <v>0</v>
      </c>
      <c r="V42" s="58">
        <f t="shared" si="11"/>
        <v>0</v>
      </c>
      <c r="W42" s="59">
        <f t="shared" si="11"/>
        <v>0</v>
      </c>
      <c r="X42" s="2"/>
      <c r="Y42" s="3"/>
    </row>
    <row r="43" spans="1:222">
      <c r="B43" s="8"/>
      <c r="C43" s="23" t="s">
        <v>84</v>
      </c>
      <c r="D43" s="33"/>
      <c r="E43" s="33"/>
      <c r="F43" s="33"/>
      <c r="G43" s="56">
        <f>$L$175</f>
        <v>51901275.504999988</v>
      </c>
      <c r="H43" s="56">
        <v>0</v>
      </c>
      <c r="I43" s="56">
        <v>0</v>
      </c>
      <c r="J43" s="56">
        <v>0</v>
      </c>
      <c r="K43" s="56">
        <v>0</v>
      </c>
      <c r="L43" s="56">
        <v>0</v>
      </c>
      <c r="M43" s="56">
        <v>0</v>
      </c>
      <c r="N43" s="56">
        <v>0</v>
      </c>
      <c r="O43" s="56">
        <v>0</v>
      </c>
      <c r="P43" s="56">
        <v>0</v>
      </c>
      <c r="Q43" s="56">
        <v>0</v>
      </c>
      <c r="R43" s="56">
        <v>0</v>
      </c>
      <c r="S43" s="56">
        <v>0</v>
      </c>
      <c r="T43" s="68">
        <v>0</v>
      </c>
      <c r="U43" s="68">
        <v>0</v>
      </c>
      <c r="V43" s="58">
        <v>0</v>
      </c>
      <c r="W43" s="59">
        <v>0</v>
      </c>
      <c r="X43" s="2"/>
      <c r="Y43" s="3"/>
    </row>
    <row r="44" spans="1:222">
      <c r="B44" s="8"/>
      <c r="C44" s="23" t="s">
        <v>85</v>
      </c>
      <c r="D44" s="33"/>
      <c r="E44" s="33"/>
      <c r="F44" s="33"/>
      <c r="G44" s="57">
        <f>G39-G43</f>
        <v>830098724.495</v>
      </c>
      <c r="H44" s="57">
        <f t="shared" ref="H44:W44" si="12">H39-H43</f>
        <v>221000000</v>
      </c>
      <c r="I44" s="57">
        <f t="shared" si="12"/>
        <v>65000000</v>
      </c>
      <c r="J44" s="57">
        <f t="shared" si="12"/>
        <v>54000000</v>
      </c>
      <c r="K44" s="56">
        <f t="shared" si="12"/>
        <v>0</v>
      </c>
      <c r="L44" s="56">
        <f>L39-L43</f>
        <v>0</v>
      </c>
      <c r="M44" s="56">
        <f t="shared" si="12"/>
        <v>0</v>
      </c>
      <c r="N44" s="56">
        <f t="shared" si="12"/>
        <v>0</v>
      </c>
      <c r="O44" s="56">
        <f t="shared" si="12"/>
        <v>0</v>
      </c>
      <c r="P44" s="56">
        <f t="shared" si="12"/>
        <v>0</v>
      </c>
      <c r="Q44" s="56">
        <f t="shared" si="12"/>
        <v>0</v>
      </c>
      <c r="R44" s="56">
        <f t="shared" si="12"/>
        <v>0</v>
      </c>
      <c r="S44" s="56">
        <f t="shared" si="12"/>
        <v>0</v>
      </c>
      <c r="T44" s="57">
        <f t="shared" si="12"/>
        <v>0</v>
      </c>
      <c r="U44" s="57">
        <f t="shared" si="12"/>
        <v>0</v>
      </c>
      <c r="V44" s="58">
        <f t="shared" si="12"/>
        <v>0</v>
      </c>
      <c r="W44" s="69">
        <f t="shared" si="12"/>
        <v>0</v>
      </c>
      <c r="X44" s="70"/>
      <c r="Y44" s="71"/>
    </row>
    <row r="45" spans="1:222">
      <c r="B45" s="8"/>
      <c r="C45" s="62" t="s">
        <v>86</v>
      </c>
      <c r="D45" s="33"/>
      <c r="E45" s="33"/>
      <c r="F45" s="33"/>
      <c r="G45" s="50">
        <f>G44/SUM($G$44:$J$44)</f>
        <v>0.70942622799051447</v>
      </c>
      <c r="H45" s="50">
        <f t="shared" ref="H45:J45" si="13">H44/SUM($G$44:$J$44)</f>
        <v>0.18887295180616565</v>
      </c>
      <c r="I45" s="50">
        <f t="shared" si="13"/>
        <v>5.5550868178284009E-2</v>
      </c>
      <c r="J45" s="50">
        <f t="shared" si="13"/>
        <v>4.6149952025035947E-2</v>
      </c>
      <c r="K45" s="48">
        <v>0</v>
      </c>
      <c r="L45" s="48">
        <v>0</v>
      </c>
      <c r="M45" s="48">
        <v>0</v>
      </c>
      <c r="N45" s="48">
        <v>0</v>
      </c>
      <c r="O45" s="48">
        <v>0</v>
      </c>
      <c r="P45" s="48">
        <v>0</v>
      </c>
      <c r="Q45" s="48">
        <v>0</v>
      </c>
      <c r="R45" s="48">
        <v>0</v>
      </c>
      <c r="S45" s="48">
        <v>0</v>
      </c>
      <c r="T45" s="48">
        <v>0</v>
      </c>
      <c r="U45" s="48">
        <v>0</v>
      </c>
      <c r="V45" s="63">
        <v>0</v>
      </c>
      <c r="W45" s="52">
        <v>0</v>
      </c>
      <c r="X45" s="2"/>
      <c r="Y45" s="3"/>
    </row>
    <row r="46" spans="1:222">
      <c r="B46" s="8"/>
      <c r="C46" s="62" t="s">
        <v>87</v>
      </c>
      <c r="D46" s="33"/>
      <c r="E46" s="33"/>
      <c r="F46" s="33"/>
      <c r="G46" s="72">
        <v>0.62820550818923837</v>
      </c>
      <c r="H46" s="72">
        <v>0.16724928397774716</v>
      </c>
      <c r="I46" s="72">
        <v>4.9190965875807992E-2</v>
      </c>
      <c r="J46" s="72">
        <v>4.0866340881440484E-2</v>
      </c>
      <c r="K46" s="48">
        <v>0</v>
      </c>
      <c r="L46" s="48">
        <v>0</v>
      </c>
      <c r="M46" s="48">
        <v>0</v>
      </c>
      <c r="N46" s="48">
        <v>0</v>
      </c>
      <c r="O46" s="48">
        <v>0</v>
      </c>
      <c r="P46" s="48">
        <v>0</v>
      </c>
      <c r="Q46" s="48">
        <v>0</v>
      </c>
      <c r="R46" s="48">
        <v>0</v>
      </c>
      <c r="S46" s="48">
        <v>0</v>
      </c>
      <c r="T46" s="48">
        <v>0</v>
      </c>
      <c r="U46" s="48">
        <v>0</v>
      </c>
      <c r="V46" s="63">
        <v>0</v>
      </c>
      <c r="W46" s="52">
        <v>0</v>
      </c>
      <c r="X46" s="2"/>
      <c r="Y46" s="3"/>
    </row>
    <row r="47" spans="1:222">
      <c r="B47" s="8"/>
      <c r="C47" s="73" t="s">
        <v>88</v>
      </c>
      <c r="D47" s="33"/>
      <c r="E47" s="33"/>
      <c r="F47" s="33"/>
      <c r="G47" s="50">
        <f>1-G46</f>
        <v>0.37179449181076163</v>
      </c>
      <c r="H47" s="50">
        <f>1-SUM(G46:H46)</f>
        <v>0.20454520783301444</v>
      </c>
      <c r="I47" s="50">
        <f>1-SUM(G46:I46)</f>
        <v>0.15535424195720648</v>
      </c>
      <c r="J47" s="50">
        <f>1-SUM(G46:J46)</f>
        <v>0.11448790107576601</v>
      </c>
      <c r="K47" s="74" t="s">
        <v>68</v>
      </c>
      <c r="L47" s="74" t="s">
        <v>68</v>
      </c>
      <c r="M47" s="74" t="s">
        <v>68</v>
      </c>
      <c r="N47" s="74" t="s">
        <v>68</v>
      </c>
      <c r="O47" s="74" t="s">
        <v>68</v>
      </c>
      <c r="P47" s="74" t="s">
        <v>68</v>
      </c>
      <c r="Q47" s="74" t="s">
        <v>68</v>
      </c>
      <c r="R47" s="74" t="s">
        <v>68</v>
      </c>
      <c r="S47" s="74" t="s">
        <v>68</v>
      </c>
      <c r="T47" s="74" t="s">
        <v>68</v>
      </c>
      <c r="U47" s="74" t="s">
        <v>68</v>
      </c>
      <c r="V47" s="74" t="s">
        <v>68</v>
      </c>
      <c r="W47" s="75" t="s">
        <v>68</v>
      </c>
      <c r="X47" s="2"/>
      <c r="Y47" s="3"/>
    </row>
    <row r="48" spans="1:222">
      <c r="B48" s="8"/>
      <c r="C48" s="23" t="s">
        <v>89</v>
      </c>
      <c r="D48" s="33"/>
      <c r="E48" s="33"/>
      <c r="F48" s="33"/>
      <c r="G48" s="76">
        <v>52366</v>
      </c>
      <c r="H48" s="76">
        <v>52366</v>
      </c>
      <c r="I48" s="76">
        <v>52366</v>
      </c>
      <c r="J48" s="76">
        <v>52366</v>
      </c>
      <c r="K48" s="76">
        <v>52366</v>
      </c>
      <c r="L48" s="76">
        <v>52366</v>
      </c>
      <c r="M48" s="76">
        <v>52366</v>
      </c>
      <c r="N48" s="76">
        <v>52366</v>
      </c>
      <c r="O48" s="76">
        <v>52366</v>
      </c>
      <c r="P48" s="76">
        <v>52366</v>
      </c>
      <c r="Q48" s="76">
        <v>52366</v>
      </c>
      <c r="R48" s="76">
        <v>52366</v>
      </c>
      <c r="S48" s="76">
        <v>52366</v>
      </c>
      <c r="T48" s="77">
        <v>52366</v>
      </c>
      <c r="U48" s="78">
        <v>52366</v>
      </c>
      <c r="V48" s="78">
        <v>52366</v>
      </c>
      <c r="W48" s="79">
        <v>52366</v>
      </c>
      <c r="X48" s="2"/>
      <c r="Y48" s="3"/>
    </row>
    <row r="49" spans="2:25">
      <c r="B49" s="8"/>
      <c r="C49" s="36" t="s">
        <v>90</v>
      </c>
      <c r="D49" s="37"/>
      <c r="E49" s="37"/>
      <c r="F49" s="37"/>
      <c r="G49" s="76">
        <v>46888</v>
      </c>
      <c r="H49" s="76">
        <v>46888</v>
      </c>
      <c r="I49" s="76">
        <v>46888</v>
      </c>
      <c r="J49" s="76">
        <v>46888</v>
      </c>
      <c r="K49" s="76">
        <v>46157</v>
      </c>
      <c r="L49" s="76">
        <v>46157</v>
      </c>
      <c r="M49" s="76">
        <v>46157</v>
      </c>
      <c r="N49" s="76">
        <v>46157</v>
      </c>
      <c r="O49" s="76">
        <v>46157</v>
      </c>
      <c r="P49" s="76">
        <v>46157</v>
      </c>
      <c r="Q49" s="76">
        <v>46157</v>
      </c>
      <c r="R49" s="76">
        <v>46157</v>
      </c>
      <c r="S49" s="76">
        <v>46157</v>
      </c>
      <c r="T49" s="77">
        <v>46157</v>
      </c>
      <c r="U49" s="78">
        <v>46157</v>
      </c>
      <c r="V49" s="78">
        <v>46157</v>
      </c>
      <c r="W49" s="79">
        <v>46157</v>
      </c>
      <c r="X49" s="2"/>
      <c r="Y49" s="3"/>
    </row>
    <row r="50" spans="2:25">
      <c r="B50" s="8"/>
      <c r="C50" s="36" t="s">
        <v>91</v>
      </c>
      <c r="D50" s="37"/>
      <c r="E50" s="37"/>
      <c r="F50" s="37"/>
      <c r="G50" s="49">
        <v>6.8000000000000005E-2</v>
      </c>
      <c r="H50" s="49">
        <f>G50</f>
        <v>6.8000000000000005E-2</v>
      </c>
      <c r="I50" s="49">
        <f t="shared" ref="I50:J50" si="14">H50</f>
        <v>6.8000000000000005E-2</v>
      </c>
      <c r="J50" s="49">
        <f t="shared" si="14"/>
        <v>6.8000000000000005E-2</v>
      </c>
      <c r="K50" s="49" t="s">
        <v>68</v>
      </c>
      <c r="L50" s="49" t="s">
        <v>68</v>
      </c>
      <c r="M50" s="49" t="s">
        <v>68</v>
      </c>
      <c r="N50" s="49" t="s">
        <v>68</v>
      </c>
      <c r="O50" s="49" t="s">
        <v>68</v>
      </c>
      <c r="P50" s="49" t="s">
        <v>68</v>
      </c>
      <c r="Q50" s="49" t="s">
        <v>68</v>
      </c>
      <c r="R50" s="49" t="s">
        <v>68</v>
      </c>
      <c r="S50" s="49" t="s">
        <v>68</v>
      </c>
      <c r="T50" s="49" t="s">
        <v>68</v>
      </c>
      <c r="U50" s="49" t="s">
        <v>68</v>
      </c>
      <c r="V50" s="74" t="s">
        <v>68</v>
      </c>
      <c r="W50" s="75" t="s">
        <v>68</v>
      </c>
      <c r="X50" s="2"/>
      <c r="Y50" s="3"/>
    </row>
    <row r="51" spans="2:25">
      <c r="B51" s="8"/>
      <c r="C51" s="36" t="s">
        <v>92</v>
      </c>
      <c r="D51" s="37"/>
      <c r="E51" s="37"/>
      <c r="F51" s="37"/>
      <c r="G51" s="48">
        <f t="shared" ref="G51:J51" si="15">G50+G27</f>
        <v>8.8000000000000009E-2</v>
      </c>
      <c r="H51" s="48">
        <f t="shared" si="15"/>
        <v>9.2700000000000005E-2</v>
      </c>
      <c r="I51" s="48">
        <f t="shared" si="15"/>
        <v>0.10350000000000001</v>
      </c>
      <c r="J51" s="48">
        <f t="shared" si="15"/>
        <v>0.11600000000000001</v>
      </c>
      <c r="K51" s="49" t="s">
        <v>68</v>
      </c>
      <c r="L51" s="49" t="s">
        <v>68</v>
      </c>
      <c r="M51" s="49" t="s">
        <v>68</v>
      </c>
      <c r="N51" s="49" t="s">
        <v>68</v>
      </c>
      <c r="O51" s="49" t="s">
        <v>68</v>
      </c>
      <c r="P51" s="49" t="s">
        <v>68</v>
      </c>
      <c r="Q51" s="49" t="s">
        <v>68</v>
      </c>
      <c r="R51" s="49" t="s">
        <v>68</v>
      </c>
      <c r="S51" s="49" t="s">
        <v>68</v>
      </c>
      <c r="T51" s="49" t="s">
        <v>68</v>
      </c>
      <c r="U51" s="49" t="s">
        <v>68</v>
      </c>
      <c r="V51" s="74" t="s">
        <v>68</v>
      </c>
      <c r="W51" s="75" t="s">
        <v>68</v>
      </c>
      <c r="X51" s="2"/>
      <c r="Y51" s="3"/>
    </row>
    <row r="52" spans="2:25">
      <c r="B52" s="8"/>
      <c r="C52" s="23" t="s">
        <v>93</v>
      </c>
      <c r="D52" s="33"/>
      <c r="E52" s="33"/>
      <c r="F52" s="33"/>
      <c r="G52" s="80" t="s">
        <v>98</v>
      </c>
      <c r="H52" s="80" t="s">
        <v>94</v>
      </c>
      <c r="I52" s="80" t="s">
        <v>95</v>
      </c>
      <c r="J52" s="80" t="s">
        <v>96</v>
      </c>
      <c r="K52" s="80" t="s">
        <v>97</v>
      </c>
      <c r="L52" s="80" t="s">
        <v>97</v>
      </c>
      <c r="M52" s="80" t="s">
        <v>97</v>
      </c>
      <c r="N52" s="80" t="s">
        <v>97</v>
      </c>
      <c r="O52" s="80" t="s">
        <v>97</v>
      </c>
      <c r="P52" s="80" t="s">
        <v>98</v>
      </c>
      <c r="Q52" s="80" t="s">
        <v>377</v>
      </c>
      <c r="R52" s="80" t="s">
        <v>377</v>
      </c>
      <c r="S52" s="80" t="s">
        <v>94</v>
      </c>
      <c r="T52" s="81" t="s">
        <v>99</v>
      </c>
      <c r="U52" s="82" t="s">
        <v>99</v>
      </c>
      <c r="V52" s="82" t="s">
        <v>99</v>
      </c>
      <c r="W52" s="83" t="s">
        <v>99</v>
      </c>
      <c r="X52" s="2"/>
      <c r="Y52" s="3"/>
    </row>
    <row r="53" spans="2:25" ht="29.4" thickBot="1">
      <c r="B53" s="8"/>
      <c r="C53" s="84" t="s">
        <v>100</v>
      </c>
      <c r="D53" s="85"/>
      <c r="E53" s="85"/>
      <c r="F53" s="85"/>
      <c r="G53" s="86" t="s">
        <v>98</v>
      </c>
      <c r="H53" s="86" t="s">
        <v>94</v>
      </c>
      <c r="I53" s="86" t="s">
        <v>95</v>
      </c>
      <c r="J53" s="87" t="s">
        <v>96</v>
      </c>
      <c r="K53" s="87" t="s">
        <v>101</v>
      </c>
      <c r="L53" s="87" t="s">
        <v>101</v>
      </c>
      <c r="M53" s="87" t="s">
        <v>101</v>
      </c>
      <c r="N53" s="87" t="s">
        <v>101</v>
      </c>
      <c r="O53" s="87" t="s">
        <v>101</v>
      </c>
      <c r="P53" s="87" t="s">
        <v>101</v>
      </c>
      <c r="Q53" s="87" t="s">
        <v>101</v>
      </c>
      <c r="R53" s="87" t="s">
        <v>101</v>
      </c>
      <c r="S53" s="87" t="s">
        <v>101</v>
      </c>
      <c r="T53" s="87" t="s">
        <v>101</v>
      </c>
      <c r="U53" s="87" t="s">
        <v>101</v>
      </c>
      <c r="V53" s="87" t="s">
        <v>101</v>
      </c>
      <c r="W53" s="88" t="s">
        <v>101</v>
      </c>
      <c r="X53" s="2"/>
      <c r="Y53" s="3"/>
    </row>
    <row r="54" spans="2:25" ht="15" thickBot="1">
      <c r="B54" s="8"/>
      <c r="C54" s="3"/>
      <c r="D54" s="3"/>
      <c r="E54" s="3"/>
      <c r="F54" s="3"/>
      <c r="G54" s="89"/>
      <c r="H54" s="89"/>
      <c r="I54" s="3"/>
      <c r="J54" s="89"/>
      <c r="K54" s="3"/>
      <c r="L54" s="89"/>
      <c r="M54" s="89"/>
      <c r="N54" s="89"/>
      <c r="O54" s="89"/>
      <c r="P54" s="3"/>
      <c r="Q54" s="3"/>
      <c r="R54" s="3"/>
      <c r="S54" s="3"/>
      <c r="T54" s="3"/>
      <c r="U54" s="3"/>
      <c r="V54" s="3"/>
      <c r="W54" s="2"/>
      <c r="X54" s="2"/>
      <c r="Y54" s="3"/>
    </row>
    <row r="55" spans="2:25" ht="15" thickBot="1">
      <c r="B55" s="8"/>
      <c r="C55" s="267" t="s">
        <v>102</v>
      </c>
      <c r="D55" s="268"/>
      <c r="E55" s="268"/>
      <c r="F55" s="268"/>
      <c r="G55" s="268"/>
      <c r="H55" s="268"/>
      <c r="I55" s="268"/>
      <c r="J55" s="268"/>
      <c r="K55" s="268"/>
      <c r="L55" s="268"/>
      <c r="M55" s="268"/>
      <c r="N55" s="268"/>
      <c r="O55" s="268"/>
      <c r="P55" s="268"/>
      <c r="Q55" s="268"/>
      <c r="R55" s="268"/>
      <c r="S55" s="268"/>
      <c r="T55" s="268"/>
      <c r="U55" s="268"/>
      <c r="V55" s="268"/>
      <c r="W55" s="269"/>
      <c r="X55" s="2"/>
      <c r="Y55" s="3"/>
    </row>
    <row r="56" spans="2:25" ht="15" thickBot="1">
      <c r="B56" s="8"/>
      <c r="C56" s="270" t="s">
        <v>103</v>
      </c>
      <c r="D56" s="271"/>
      <c r="E56" s="271"/>
      <c r="F56" s="271"/>
      <c r="G56" s="271"/>
      <c r="H56" s="271"/>
      <c r="I56" s="271"/>
      <c r="J56" s="271"/>
      <c r="K56" s="271"/>
      <c r="L56" s="271"/>
      <c r="M56" s="271"/>
      <c r="N56" s="271"/>
      <c r="O56" s="271"/>
      <c r="P56" s="271"/>
      <c r="Q56" s="271"/>
      <c r="R56" s="271"/>
      <c r="S56" s="271"/>
      <c r="T56" s="271"/>
      <c r="U56" s="271"/>
      <c r="V56" s="271"/>
      <c r="W56" s="272"/>
      <c r="X56" s="2"/>
      <c r="Y56" s="3"/>
    </row>
    <row r="57" spans="2:25">
      <c r="B57" s="8"/>
      <c r="C57" s="36" t="s">
        <v>104</v>
      </c>
      <c r="D57" s="37"/>
      <c r="E57" s="37"/>
      <c r="F57" s="37"/>
      <c r="G57" s="37"/>
      <c r="H57" s="37"/>
      <c r="I57" s="37"/>
      <c r="J57" s="37"/>
      <c r="K57" s="37"/>
      <c r="L57" s="37"/>
      <c r="M57" s="37"/>
      <c r="N57" s="37"/>
      <c r="O57" s="37"/>
      <c r="P57" s="37"/>
      <c r="Q57" s="37"/>
      <c r="R57" s="37"/>
      <c r="S57" s="37"/>
      <c r="T57" s="289">
        <v>82384236.822428569</v>
      </c>
      <c r="U57" s="290"/>
      <c r="V57" s="290"/>
      <c r="W57" s="291"/>
      <c r="X57" s="2"/>
      <c r="Y57" s="3"/>
    </row>
    <row r="58" spans="2:25">
      <c r="B58" s="8"/>
      <c r="C58" s="23" t="s">
        <v>105</v>
      </c>
      <c r="D58" s="33"/>
      <c r="E58" s="33"/>
      <c r="F58" s="33"/>
      <c r="G58" s="33"/>
      <c r="H58" s="33"/>
      <c r="I58" s="33"/>
      <c r="J58" s="33"/>
      <c r="K58" s="33"/>
      <c r="L58" s="33"/>
      <c r="M58" s="33"/>
      <c r="N58" s="33"/>
      <c r="O58" s="33"/>
      <c r="P58" s="33"/>
      <c r="Q58" s="33"/>
      <c r="R58" s="33"/>
      <c r="S58" s="33"/>
      <c r="T58" s="292">
        <v>48926718.780000001</v>
      </c>
      <c r="U58" s="293"/>
      <c r="V58" s="293"/>
      <c r="W58" s="294"/>
      <c r="X58" s="2"/>
      <c r="Y58" s="3"/>
    </row>
    <row r="59" spans="2:25">
      <c r="B59" s="8"/>
      <c r="C59" s="90" t="s">
        <v>106</v>
      </c>
      <c r="D59" s="91"/>
      <c r="E59" s="91"/>
      <c r="F59" s="91"/>
      <c r="G59" s="91"/>
      <c r="H59" s="91"/>
      <c r="I59" s="91"/>
      <c r="J59" s="91"/>
      <c r="K59" s="91"/>
      <c r="L59" s="91"/>
      <c r="M59" s="91"/>
      <c r="N59" s="91"/>
      <c r="O59" s="91"/>
      <c r="P59" s="91"/>
      <c r="Q59" s="91"/>
      <c r="R59" s="91"/>
      <c r="S59" s="91"/>
      <c r="T59" s="295">
        <f>SUM(T60:U62)</f>
        <v>33457518.042428568</v>
      </c>
      <c r="U59" s="296"/>
      <c r="V59" s="296"/>
      <c r="W59" s="297"/>
      <c r="X59" s="2"/>
      <c r="Y59" s="3"/>
    </row>
    <row r="60" spans="2:25">
      <c r="B60" s="8"/>
      <c r="C60" s="73" t="s">
        <v>107</v>
      </c>
      <c r="D60" s="37"/>
      <c r="E60" s="37"/>
      <c r="F60" s="37"/>
      <c r="G60" s="37"/>
      <c r="H60" s="37"/>
      <c r="I60" s="37"/>
      <c r="J60" s="37"/>
      <c r="K60" s="37"/>
      <c r="L60" s="37"/>
      <c r="M60" s="37"/>
      <c r="N60" s="37"/>
      <c r="O60" s="37"/>
      <c r="P60" s="37"/>
      <c r="Q60" s="37"/>
      <c r="R60" s="37"/>
      <c r="S60" s="37"/>
      <c r="T60" s="282">
        <f>T57-T58-T62</f>
        <v>237740.04242856801</v>
      </c>
      <c r="U60" s="283"/>
      <c r="V60" s="93"/>
      <c r="W60" s="94"/>
      <c r="X60" s="2"/>
      <c r="Y60" s="3"/>
    </row>
    <row r="61" spans="2:25">
      <c r="B61" s="8"/>
      <c r="C61" s="73" t="s">
        <v>108</v>
      </c>
      <c r="D61" s="37"/>
      <c r="E61" s="37"/>
      <c r="F61" s="37"/>
      <c r="G61" s="37"/>
      <c r="H61" s="37"/>
      <c r="I61" s="37"/>
      <c r="J61" s="37"/>
      <c r="K61" s="37"/>
      <c r="L61" s="37"/>
      <c r="M61" s="37"/>
      <c r="N61" s="37"/>
      <c r="O61" s="37"/>
      <c r="P61" s="37"/>
      <c r="Q61" s="37"/>
      <c r="R61" s="37"/>
      <c r="S61" s="37"/>
      <c r="T61" s="282">
        <v>0</v>
      </c>
      <c r="U61" s="283"/>
      <c r="V61" s="95"/>
      <c r="W61" s="2"/>
      <c r="X61" s="2"/>
      <c r="Y61" s="3"/>
    </row>
    <row r="62" spans="2:25" ht="15" thickBot="1">
      <c r="B62" s="8"/>
      <c r="C62" s="73" t="s">
        <v>109</v>
      </c>
      <c r="D62" s="37"/>
      <c r="E62" s="37"/>
      <c r="F62" s="37"/>
      <c r="G62" s="37"/>
      <c r="H62" s="37"/>
      <c r="I62" s="37"/>
      <c r="J62" s="37"/>
      <c r="K62" s="37"/>
      <c r="L62" s="37"/>
      <c r="M62" s="37"/>
      <c r="N62" s="37"/>
      <c r="O62" s="37"/>
      <c r="P62" s="37"/>
      <c r="Q62" s="37"/>
      <c r="R62" s="37"/>
      <c r="S62" s="37"/>
      <c r="T62" s="298">
        <f>Q204</f>
        <v>33219778</v>
      </c>
      <c r="U62" s="299"/>
      <c r="V62" s="97"/>
      <c r="W62" s="2"/>
      <c r="X62" s="2"/>
      <c r="Y62" s="3"/>
    </row>
    <row r="63" spans="2:25" ht="15" thickBot="1">
      <c r="B63" s="8"/>
      <c r="C63" s="276" t="s">
        <v>110</v>
      </c>
      <c r="D63" s="277"/>
      <c r="E63" s="277"/>
      <c r="F63" s="277"/>
      <c r="G63" s="277"/>
      <c r="H63" s="277"/>
      <c r="I63" s="277"/>
      <c r="J63" s="277"/>
      <c r="K63" s="277"/>
      <c r="L63" s="277"/>
      <c r="M63" s="277"/>
      <c r="N63" s="277"/>
      <c r="O63" s="277"/>
      <c r="P63" s="277"/>
      <c r="Q63" s="277"/>
      <c r="R63" s="277"/>
      <c r="S63" s="277"/>
      <c r="T63" s="277"/>
      <c r="U63" s="277"/>
      <c r="V63" s="277"/>
      <c r="W63" s="278"/>
      <c r="X63" s="2"/>
      <c r="Y63" s="3"/>
    </row>
    <row r="64" spans="2:25">
      <c r="B64" s="8"/>
      <c r="C64" s="36" t="s">
        <v>111</v>
      </c>
      <c r="D64" s="37"/>
      <c r="E64" s="37"/>
      <c r="F64" s="37"/>
      <c r="G64" s="37"/>
      <c r="H64" s="37"/>
      <c r="I64" s="37"/>
      <c r="J64" s="37"/>
      <c r="K64" s="37"/>
      <c r="L64" s="37"/>
      <c r="M64" s="37"/>
      <c r="N64" s="37"/>
      <c r="O64" s="37"/>
      <c r="P64" s="37"/>
      <c r="Q64" s="37"/>
      <c r="R64" s="37"/>
      <c r="S64" s="37"/>
      <c r="T64" s="279">
        <f>SUM(L65:U66)</f>
        <v>1321380843.8749697</v>
      </c>
      <c r="U64" s="280"/>
      <c r="V64" s="280"/>
      <c r="W64" s="281"/>
      <c r="X64" s="2"/>
      <c r="Y64" s="3"/>
    </row>
    <row r="65" spans="2:25">
      <c r="B65" s="8"/>
      <c r="C65" s="73" t="s">
        <v>112</v>
      </c>
      <c r="D65" s="37"/>
      <c r="E65" s="37"/>
      <c r="F65" s="37"/>
      <c r="G65" s="37"/>
      <c r="H65" s="37"/>
      <c r="I65" s="37"/>
      <c r="J65" s="37"/>
      <c r="K65" s="37"/>
      <c r="L65" s="37"/>
      <c r="M65" s="37"/>
      <c r="N65" s="37"/>
      <c r="O65" s="37"/>
      <c r="P65" s="37"/>
      <c r="Q65" s="37"/>
      <c r="R65" s="37"/>
      <c r="S65" s="37"/>
      <c r="T65" s="282">
        <v>1222000000</v>
      </c>
      <c r="U65" s="283"/>
      <c r="V65" s="95"/>
      <c r="W65" s="98"/>
      <c r="X65" s="2"/>
      <c r="Y65" s="3"/>
    </row>
    <row r="66" spans="2:25">
      <c r="B66" s="8"/>
      <c r="C66" s="73" t="s">
        <v>113</v>
      </c>
      <c r="D66" s="37"/>
      <c r="E66" s="37"/>
      <c r="F66" s="37"/>
      <c r="G66" s="37"/>
      <c r="H66" s="37"/>
      <c r="I66" s="37"/>
      <c r="J66" s="37"/>
      <c r="K66" s="37"/>
      <c r="L66" s="37"/>
      <c r="M66" s="37"/>
      <c r="N66" s="37"/>
      <c r="O66" s="37"/>
      <c r="P66" s="37"/>
      <c r="Q66" s="37"/>
      <c r="R66" s="37"/>
      <c r="S66" s="99"/>
      <c r="T66" s="284">
        <v>99380843.874969795</v>
      </c>
      <c r="U66" s="285"/>
      <c r="V66" s="97"/>
      <c r="W66" s="98"/>
      <c r="X66" s="2"/>
      <c r="Y66" s="3"/>
    </row>
    <row r="67" spans="2:25">
      <c r="B67" s="8"/>
      <c r="C67" s="90" t="s">
        <v>114</v>
      </c>
      <c r="D67" s="91"/>
      <c r="E67" s="91"/>
      <c r="F67" s="91"/>
      <c r="G67" s="91"/>
      <c r="H67" s="91"/>
      <c r="I67" s="91"/>
      <c r="J67" s="91"/>
      <c r="K67" s="91"/>
      <c r="L67" s="91"/>
      <c r="M67" s="91"/>
      <c r="N67" s="91"/>
      <c r="O67" s="91"/>
      <c r="P67" s="91"/>
      <c r="Q67" s="91"/>
      <c r="R67" s="91"/>
      <c r="S67" s="101"/>
      <c r="T67" s="286">
        <f>SUM(K68:U69)</f>
        <v>1013206.16</v>
      </c>
      <c r="U67" s="287"/>
      <c r="V67" s="287"/>
      <c r="W67" s="288"/>
      <c r="X67" s="2"/>
      <c r="Y67" s="3"/>
    </row>
    <row r="68" spans="2:25">
      <c r="B68" s="8"/>
      <c r="C68" s="73" t="s">
        <v>115</v>
      </c>
      <c r="D68" s="37"/>
      <c r="E68" s="37"/>
      <c r="F68" s="37"/>
      <c r="G68" s="37"/>
      <c r="H68" s="37"/>
      <c r="I68" s="37"/>
      <c r="J68" s="37"/>
      <c r="K68" s="37"/>
      <c r="L68" s="37"/>
      <c r="M68" s="37"/>
      <c r="N68" s="37"/>
      <c r="O68" s="37"/>
      <c r="P68" s="37"/>
      <c r="Q68" s="37"/>
      <c r="R68" s="37"/>
      <c r="S68" s="37"/>
      <c r="T68" s="282">
        <v>60836.350000000006</v>
      </c>
      <c r="U68" s="283"/>
      <c r="V68" s="97"/>
      <c r="W68" s="98"/>
      <c r="X68" s="2"/>
      <c r="Y68" s="3"/>
    </row>
    <row r="69" spans="2:25">
      <c r="B69" s="8"/>
      <c r="C69" s="102" t="s">
        <v>116</v>
      </c>
      <c r="D69" s="103"/>
      <c r="E69" s="103"/>
      <c r="F69" s="103"/>
      <c r="G69" s="103"/>
      <c r="H69" s="103"/>
      <c r="I69" s="103"/>
      <c r="J69" s="103"/>
      <c r="K69" s="103"/>
      <c r="L69" s="103"/>
      <c r="M69" s="103"/>
      <c r="N69" s="103"/>
      <c r="O69" s="103"/>
      <c r="P69" s="103"/>
      <c r="Q69" s="103"/>
      <c r="R69" s="103"/>
      <c r="S69" s="103"/>
      <c r="T69" s="284">
        <v>952369.81</v>
      </c>
      <c r="U69" s="285"/>
      <c r="V69" s="97"/>
      <c r="W69" s="98"/>
      <c r="X69" s="2"/>
      <c r="Y69" s="3"/>
    </row>
    <row r="70" spans="2:25">
      <c r="B70" s="8"/>
      <c r="C70" s="90" t="s">
        <v>117</v>
      </c>
      <c r="D70" s="91"/>
      <c r="E70" s="91"/>
      <c r="F70" s="91"/>
      <c r="G70" s="91"/>
      <c r="H70" s="91"/>
      <c r="I70" s="91"/>
      <c r="J70" s="91"/>
      <c r="K70" s="91"/>
      <c r="L70" s="91"/>
      <c r="M70" s="91"/>
      <c r="N70" s="91"/>
      <c r="O70" s="91"/>
      <c r="P70" s="91"/>
      <c r="Q70" s="91"/>
      <c r="R70" s="91"/>
      <c r="S70" s="91"/>
      <c r="T70" s="300">
        <f>SUM(T71:T73,T76,T79,T82:U84)</f>
        <v>108644382.28004403</v>
      </c>
      <c r="U70" s="301"/>
      <c r="V70" s="301"/>
      <c r="W70" s="302"/>
      <c r="X70" s="2"/>
      <c r="Y70" s="3"/>
    </row>
    <row r="71" spans="2:25">
      <c r="B71" s="8"/>
      <c r="C71" s="73" t="s">
        <v>118</v>
      </c>
      <c r="D71" s="37"/>
      <c r="E71" s="37"/>
      <c r="F71" s="37"/>
      <c r="G71" s="37"/>
      <c r="H71" s="37"/>
      <c r="I71" s="37"/>
      <c r="J71" s="37"/>
      <c r="K71" s="37"/>
      <c r="L71" s="37"/>
      <c r="M71" s="37"/>
      <c r="N71" s="37"/>
      <c r="O71" s="37"/>
      <c r="P71" s="37"/>
      <c r="Q71" s="37"/>
      <c r="R71" s="37"/>
      <c r="S71" s="37"/>
      <c r="T71" s="282">
        <f>'Servicer Report'!J39</f>
        <v>15203197.481999995</v>
      </c>
      <c r="U71" s="283"/>
      <c r="V71" s="95"/>
      <c r="W71" s="104"/>
      <c r="X71" s="2"/>
      <c r="Y71" s="3"/>
    </row>
    <row r="72" spans="2:25">
      <c r="B72" s="8"/>
      <c r="C72" s="73" t="s">
        <v>119</v>
      </c>
      <c r="D72" s="37"/>
      <c r="E72" s="37"/>
      <c r="F72" s="37"/>
      <c r="G72" s="37"/>
      <c r="H72" s="37"/>
      <c r="I72" s="37"/>
      <c r="J72" s="37"/>
      <c r="K72" s="37"/>
      <c r="L72" s="37"/>
      <c r="M72" s="37"/>
      <c r="N72" s="37"/>
      <c r="O72" s="37"/>
      <c r="P72" s="37"/>
      <c r="Q72" s="37"/>
      <c r="R72" s="37"/>
      <c r="S72" s="37"/>
      <c r="T72" s="282">
        <f>'Servicer Report'!J42</f>
        <v>36112780.232999995</v>
      </c>
      <c r="U72" s="283"/>
      <c r="V72" s="95"/>
      <c r="W72" s="104"/>
      <c r="X72" s="2"/>
      <c r="Y72" s="3"/>
    </row>
    <row r="73" spans="2:25">
      <c r="B73" s="8"/>
      <c r="C73" s="73" t="s">
        <v>120</v>
      </c>
      <c r="D73" s="37"/>
      <c r="E73" s="37"/>
      <c r="F73" s="37"/>
      <c r="G73" s="37"/>
      <c r="H73" s="37"/>
      <c r="I73" s="37"/>
      <c r="J73" s="37"/>
      <c r="K73" s="37"/>
      <c r="L73" s="37"/>
      <c r="M73" s="37"/>
      <c r="N73" s="37"/>
      <c r="O73" s="37"/>
      <c r="P73" s="37"/>
      <c r="Q73" s="37"/>
      <c r="R73" s="37"/>
      <c r="S73" s="37"/>
      <c r="T73" s="282">
        <f>SUM(T74:T75)</f>
        <v>0</v>
      </c>
      <c r="U73" s="283"/>
      <c r="V73" s="95"/>
      <c r="W73" s="104"/>
      <c r="X73" s="2"/>
      <c r="Y73" s="3"/>
    </row>
    <row r="74" spans="2:25">
      <c r="B74" s="8"/>
      <c r="C74" s="105" t="s">
        <v>121</v>
      </c>
      <c r="D74" s="37"/>
      <c r="E74" s="37"/>
      <c r="F74" s="37"/>
      <c r="G74" s="37"/>
      <c r="H74" s="37"/>
      <c r="I74" s="37"/>
      <c r="J74" s="37"/>
      <c r="K74" s="37"/>
      <c r="L74" s="37"/>
      <c r="M74" s="37"/>
      <c r="N74" s="37"/>
      <c r="O74" s="37"/>
      <c r="P74" s="37"/>
      <c r="Q74" s="37"/>
      <c r="R74" s="37"/>
      <c r="S74" s="37"/>
      <c r="T74" s="106">
        <v>0</v>
      </c>
      <c r="U74" s="107"/>
      <c r="V74" s="107"/>
      <c r="W74" s="104"/>
      <c r="X74" s="2"/>
      <c r="Y74" s="3"/>
    </row>
    <row r="75" spans="2:25">
      <c r="B75" s="8"/>
      <c r="C75" s="105" t="s">
        <v>122</v>
      </c>
      <c r="D75" s="37"/>
      <c r="E75" s="37"/>
      <c r="F75" s="37"/>
      <c r="G75" s="37"/>
      <c r="H75" s="37"/>
      <c r="I75" s="37"/>
      <c r="J75" s="37"/>
      <c r="K75" s="37"/>
      <c r="L75" s="37"/>
      <c r="M75" s="37"/>
      <c r="N75" s="37"/>
      <c r="O75" s="37"/>
      <c r="P75" s="37"/>
      <c r="Q75" s="37"/>
      <c r="R75" s="37"/>
      <c r="S75" s="37"/>
      <c r="T75" s="106">
        <v>0</v>
      </c>
      <c r="U75" s="107"/>
      <c r="V75" s="107"/>
      <c r="W75" s="104"/>
      <c r="X75" s="2"/>
      <c r="Y75" s="3"/>
    </row>
    <row r="76" spans="2:25">
      <c r="B76" s="8"/>
      <c r="C76" s="73" t="s">
        <v>123</v>
      </c>
      <c r="D76" s="37"/>
      <c r="E76" s="37"/>
      <c r="F76" s="37"/>
      <c r="G76" s="37"/>
      <c r="H76" s="37"/>
      <c r="I76" s="37"/>
      <c r="J76" s="37"/>
      <c r="K76" s="37"/>
      <c r="L76" s="37"/>
      <c r="M76" s="37"/>
      <c r="N76" s="37"/>
      <c r="O76" s="37"/>
      <c r="P76" s="37"/>
      <c r="Q76" s="37"/>
      <c r="R76" s="37"/>
      <c r="S76" s="37"/>
      <c r="T76" s="282">
        <f>SUM(T77:T78)</f>
        <v>0</v>
      </c>
      <c r="U76" s="283"/>
      <c r="V76" s="95"/>
      <c r="W76" s="104"/>
      <c r="X76" s="2"/>
      <c r="Y76" s="3"/>
    </row>
    <row r="77" spans="2:25">
      <c r="B77" s="8"/>
      <c r="C77" s="105" t="s">
        <v>121</v>
      </c>
      <c r="D77" s="37"/>
      <c r="E77" s="37"/>
      <c r="F77" s="37"/>
      <c r="G77" s="37"/>
      <c r="H77" s="37"/>
      <c r="I77" s="37"/>
      <c r="J77" s="37"/>
      <c r="K77" s="37"/>
      <c r="L77" s="37"/>
      <c r="M77" s="37"/>
      <c r="N77" s="37"/>
      <c r="O77" s="37"/>
      <c r="P77" s="37"/>
      <c r="Q77" s="37"/>
      <c r="R77" s="37"/>
      <c r="S77" s="37"/>
      <c r="T77" s="106">
        <v>0</v>
      </c>
      <c r="U77" s="107"/>
      <c r="V77" s="107"/>
      <c r="W77" s="104"/>
      <c r="X77" s="2"/>
      <c r="Y77" s="3"/>
    </row>
    <row r="78" spans="2:25">
      <c r="B78" s="8"/>
      <c r="C78" s="105" t="s">
        <v>122</v>
      </c>
      <c r="D78" s="37"/>
      <c r="E78" s="37"/>
      <c r="F78" s="37"/>
      <c r="G78" s="37"/>
      <c r="H78" s="37"/>
      <c r="I78" s="37"/>
      <c r="J78" s="37"/>
      <c r="K78" s="37"/>
      <c r="L78" s="37"/>
      <c r="M78" s="37"/>
      <c r="N78" s="37"/>
      <c r="O78" s="37"/>
      <c r="P78" s="37"/>
      <c r="Q78" s="37"/>
      <c r="R78" s="37"/>
      <c r="S78" s="37"/>
      <c r="T78" s="106">
        <v>0</v>
      </c>
      <c r="U78" s="107"/>
      <c r="V78" s="107"/>
      <c r="W78" s="104"/>
      <c r="X78" s="2"/>
      <c r="Y78" s="3"/>
    </row>
    <row r="79" spans="2:25">
      <c r="B79" s="8"/>
      <c r="C79" s="73" t="s">
        <v>124</v>
      </c>
      <c r="D79" s="37"/>
      <c r="E79" s="37"/>
      <c r="F79" s="37"/>
      <c r="G79" s="37"/>
      <c r="H79" s="37"/>
      <c r="I79" s="37"/>
      <c r="J79" s="37"/>
      <c r="K79" s="37"/>
      <c r="L79" s="37"/>
      <c r="M79" s="37"/>
      <c r="N79" s="37"/>
      <c r="O79" s="37"/>
      <c r="P79" s="37"/>
      <c r="Q79" s="37"/>
      <c r="R79" s="37"/>
      <c r="S79" s="37"/>
      <c r="T79" s="282">
        <f>SUM(T80:T81)</f>
        <v>15031612</v>
      </c>
      <c r="U79" s="283"/>
      <c r="V79" s="95"/>
      <c r="W79" s="104"/>
      <c r="X79" s="2"/>
      <c r="Y79" s="3"/>
    </row>
    <row r="80" spans="2:25">
      <c r="B80" s="8"/>
      <c r="C80" s="105" t="s">
        <v>125</v>
      </c>
      <c r="D80" s="37"/>
      <c r="E80" s="37"/>
      <c r="F80" s="37"/>
      <c r="G80" s="37"/>
      <c r="H80" s="37"/>
      <c r="I80" s="37"/>
      <c r="J80" s="37"/>
      <c r="K80" s="37"/>
      <c r="L80" s="37"/>
      <c r="M80" s="37"/>
      <c r="N80" s="37"/>
      <c r="O80" s="37"/>
      <c r="P80" s="37"/>
      <c r="Q80" s="37"/>
      <c r="R80" s="37"/>
      <c r="S80" s="37"/>
      <c r="T80" s="106">
        <f>'Servicer Report'!J46</f>
        <v>0</v>
      </c>
      <c r="U80" s="107"/>
      <c r="V80" s="107"/>
      <c r="W80" s="104"/>
      <c r="X80" s="2"/>
      <c r="Y80" s="3"/>
    </row>
    <row r="81" spans="2:25">
      <c r="B81" s="8"/>
      <c r="C81" s="105" t="s">
        <v>126</v>
      </c>
      <c r="D81" s="37"/>
      <c r="E81" s="37"/>
      <c r="F81" s="37"/>
      <c r="G81" s="37"/>
      <c r="H81" s="37"/>
      <c r="I81" s="37"/>
      <c r="J81" s="37"/>
      <c r="K81" s="37"/>
      <c r="L81" s="37"/>
      <c r="M81" s="37"/>
      <c r="N81" s="37"/>
      <c r="O81" s="37"/>
      <c r="P81" s="37"/>
      <c r="Q81" s="37"/>
      <c r="R81" s="37"/>
      <c r="S81" s="37"/>
      <c r="T81" s="106">
        <f>'Servicer Report'!J47</f>
        <v>15031612</v>
      </c>
      <c r="U81" s="107"/>
      <c r="V81" s="107"/>
      <c r="W81" s="104"/>
      <c r="X81" s="2"/>
      <c r="Y81" s="3"/>
    </row>
    <row r="82" spans="2:25">
      <c r="B82" s="8"/>
      <c r="C82" s="73" t="s">
        <v>127</v>
      </c>
      <c r="D82" s="37"/>
      <c r="E82" s="37"/>
      <c r="F82" s="37"/>
      <c r="G82" s="37"/>
      <c r="H82" s="37"/>
      <c r="I82" s="37"/>
      <c r="J82" s="37"/>
      <c r="K82" s="37"/>
      <c r="L82" s="37"/>
      <c r="M82" s="37"/>
      <c r="N82" s="37"/>
      <c r="O82" s="37"/>
      <c r="P82" s="37"/>
      <c r="Q82" s="37"/>
      <c r="R82" s="37"/>
      <c r="S82" s="37"/>
      <c r="T82" s="282">
        <f>'Servicer Report'!J40</f>
        <v>40477313.720000014</v>
      </c>
      <c r="U82" s="283"/>
      <c r="V82" s="95"/>
      <c r="W82" s="104"/>
      <c r="X82" s="2"/>
      <c r="Y82" s="3"/>
    </row>
    <row r="83" spans="2:25">
      <c r="B83" s="8"/>
      <c r="C83" s="73" t="s">
        <v>128</v>
      </c>
      <c r="D83" s="37"/>
      <c r="E83" s="37"/>
      <c r="F83" s="37"/>
      <c r="G83" s="37"/>
      <c r="H83" s="37"/>
      <c r="I83" s="37"/>
      <c r="J83" s="37"/>
      <c r="K83" s="37"/>
      <c r="L83" s="37"/>
      <c r="M83" s="37"/>
      <c r="N83" s="37"/>
      <c r="O83" s="37"/>
      <c r="P83" s="37"/>
      <c r="Q83" s="37"/>
      <c r="R83" s="37"/>
      <c r="S83" s="37"/>
      <c r="T83" s="282">
        <f>'Servicer Report'!J41</f>
        <v>58708.649999999892</v>
      </c>
      <c r="U83" s="283"/>
      <c r="V83" s="95"/>
      <c r="W83" s="104"/>
      <c r="X83" s="2"/>
      <c r="Y83" s="3"/>
    </row>
    <row r="84" spans="2:25">
      <c r="B84" s="8"/>
      <c r="C84" s="102" t="s">
        <v>129</v>
      </c>
      <c r="D84" s="103"/>
      <c r="E84" s="103"/>
      <c r="F84" s="103"/>
      <c r="G84" s="103"/>
      <c r="H84" s="103"/>
      <c r="I84" s="103"/>
      <c r="J84" s="103"/>
      <c r="K84" s="103"/>
      <c r="L84" s="103"/>
      <c r="M84" s="103"/>
      <c r="N84" s="103"/>
      <c r="O84" s="103"/>
      <c r="P84" s="103"/>
      <c r="Q84" s="103"/>
      <c r="R84" s="103"/>
      <c r="S84" s="103"/>
      <c r="T84" s="284">
        <v>1760770.1950440186</v>
      </c>
      <c r="U84" s="285"/>
      <c r="V84" s="108"/>
      <c r="W84" s="109"/>
      <c r="X84" s="2"/>
      <c r="Y84" s="3"/>
    </row>
    <row r="85" spans="2:25" ht="15" thickBot="1">
      <c r="B85" s="8"/>
      <c r="C85" s="110" t="s">
        <v>130</v>
      </c>
      <c r="D85" s="91"/>
      <c r="E85" s="91"/>
      <c r="F85" s="91"/>
      <c r="G85" s="91"/>
      <c r="H85" s="91"/>
      <c r="I85" s="91"/>
      <c r="J85" s="91"/>
      <c r="K85" s="91"/>
      <c r="L85" s="91"/>
      <c r="M85" s="91"/>
      <c r="N85" s="91"/>
      <c r="O85" s="91"/>
      <c r="P85" s="91"/>
      <c r="Q85" s="91"/>
      <c r="R85" s="91"/>
      <c r="S85" s="101"/>
      <c r="T85" s="286">
        <v>0</v>
      </c>
      <c r="U85" s="287"/>
      <c r="V85" s="287"/>
      <c r="W85" s="288"/>
      <c r="X85" s="2"/>
      <c r="Y85" s="3"/>
    </row>
    <row r="86" spans="2:25" ht="15" thickBot="1">
      <c r="B86" s="8"/>
      <c r="C86" s="276" t="s">
        <v>131</v>
      </c>
      <c r="D86" s="277"/>
      <c r="E86" s="277"/>
      <c r="F86" s="277"/>
      <c r="G86" s="277"/>
      <c r="H86" s="277"/>
      <c r="I86" s="277"/>
      <c r="J86" s="277"/>
      <c r="K86" s="277"/>
      <c r="L86" s="277"/>
      <c r="M86" s="277"/>
      <c r="N86" s="277"/>
      <c r="O86" s="277"/>
      <c r="P86" s="277"/>
      <c r="Q86" s="277"/>
      <c r="R86" s="277"/>
      <c r="S86" s="277"/>
      <c r="T86" s="277"/>
      <c r="U86" s="277"/>
      <c r="V86" s="277"/>
      <c r="W86" s="278"/>
      <c r="X86" s="2"/>
      <c r="Y86" s="3"/>
    </row>
    <row r="87" spans="2:25">
      <c r="B87" s="8"/>
      <c r="C87" s="111" t="s">
        <v>132</v>
      </c>
      <c r="D87" s="37"/>
      <c r="E87" s="37"/>
      <c r="F87" s="37"/>
      <c r="G87" s="37"/>
      <c r="H87" s="37"/>
      <c r="I87" s="37"/>
      <c r="J87" s="37"/>
      <c r="K87" s="37"/>
      <c r="L87" s="37"/>
      <c r="M87" s="37"/>
      <c r="N87" s="37"/>
      <c r="O87" s="37"/>
      <c r="P87" s="37"/>
      <c r="Q87" s="37"/>
      <c r="R87" s="37"/>
      <c r="S87" s="37"/>
      <c r="T87" s="279">
        <f>SUM(T88:U90,T94:U97)</f>
        <v>1354401697.3831809</v>
      </c>
      <c r="U87" s="280"/>
      <c r="V87" s="280"/>
      <c r="W87" s="281"/>
      <c r="X87" s="2"/>
      <c r="Y87" s="3"/>
    </row>
    <row r="88" spans="2:25">
      <c r="B88" s="8"/>
      <c r="C88" s="73" t="s">
        <v>133</v>
      </c>
      <c r="D88" s="37"/>
      <c r="E88" s="37"/>
      <c r="F88" s="37"/>
      <c r="G88" s="37"/>
      <c r="H88" s="37"/>
      <c r="I88" s="37"/>
      <c r="J88" s="37"/>
      <c r="K88" s="37"/>
      <c r="L88" s="37"/>
      <c r="M88" s="37"/>
      <c r="N88" s="37"/>
      <c r="O88" s="37"/>
      <c r="P88" s="37"/>
      <c r="Q88" s="37"/>
      <c r="R88" s="37"/>
      <c r="S88" s="37"/>
      <c r="T88" s="282">
        <v>0</v>
      </c>
      <c r="U88" s="283"/>
      <c r="V88" s="92"/>
      <c r="W88" s="112"/>
      <c r="X88" s="2"/>
      <c r="Y88" s="3"/>
    </row>
    <row r="89" spans="2:25">
      <c r="B89" s="8"/>
      <c r="C89" s="73" t="s">
        <v>134</v>
      </c>
      <c r="D89" s="37"/>
      <c r="E89" s="37"/>
      <c r="F89" s="37"/>
      <c r="G89" s="37"/>
      <c r="H89" s="37"/>
      <c r="I89" s="37"/>
      <c r="J89" s="37"/>
      <c r="K89" s="37"/>
      <c r="L89" s="37"/>
      <c r="M89" s="37"/>
      <c r="N89" s="37"/>
      <c r="O89" s="37"/>
      <c r="P89" s="37"/>
      <c r="Q89" s="37"/>
      <c r="R89" s="37"/>
      <c r="S89" s="37"/>
      <c r="T89" s="306">
        <v>0</v>
      </c>
      <c r="U89" s="307"/>
      <c r="V89" s="113"/>
      <c r="W89" s="112"/>
      <c r="X89" s="2"/>
      <c r="Y89" s="3"/>
    </row>
    <row r="90" spans="2:25">
      <c r="B90" s="8"/>
      <c r="C90" s="73" t="s">
        <v>135</v>
      </c>
      <c r="D90" s="37"/>
      <c r="E90" s="37"/>
      <c r="F90" s="37"/>
      <c r="G90" s="37"/>
      <c r="H90" s="37"/>
      <c r="I90" s="37"/>
      <c r="J90" s="37"/>
      <c r="K90" s="37"/>
      <c r="L90" s="37"/>
      <c r="M90" s="37"/>
      <c r="N90" s="37"/>
      <c r="O90" s="37"/>
      <c r="P90" s="37"/>
      <c r="Q90" s="37"/>
      <c r="R90" s="37"/>
      <c r="S90" s="37"/>
      <c r="T90" s="282">
        <f>SUM(T91:T93)</f>
        <v>12472099.450000001</v>
      </c>
      <c r="U90" s="283"/>
      <c r="V90" s="92"/>
      <c r="W90" s="112"/>
      <c r="X90" s="2"/>
      <c r="Y90" s="3"/>
    </row>
    <row r="91" spans="2:25">
      <c r="B91" s="8"/>
      <c r="C91" s="105" t="s">
        <v>136</v>
      </c>
      <c r="D91" s="37"/>
      <c r="E91" s="37"/>
      <c r="F91" s="37"/>
      <c r="G91" s="37"/>
      <c r="H91" s="37"/>
      <c r="I91" s="37"/>
      <c r="J91" s="37"/>
      <c r="K91" s="37"/>
      <c r="L91" s="37"/>
      <c r="M91" s="37"/>
      <c r="N91" s="37"/>
      <c r="O91" s="37"/>
      <c r="P91" s="37"/>
      <c r="Q91" s="37"/>
      <c r="R91" s="37"/>
      <c r="S91" s="37"/>
      <c r="T91" s="106">
        <f>'Servicer Report'!J27</f>
        <v>0</v>
      </c>
      <c r="U91" s="114"/>
      <c r="V91" s="114"/>
      <c r="W91" s="112"/>
      <c r="X91" s="2"/>
      <c r="Y91" s="3"/>
    </row>
    <row r="92" spans="2:25">
      <c r="B92" s="8"/>
      <c r="C92" s="105" t="s">
        <v>137</v>
      </c>
      <c r="D92" s="37"/>
      <c r="E92" s="37"/>
      <c r="F92" s="37"/>
      <c r="G92" s="37"/>
      <c r="H92" s="37"/>
      <c r="I92" s="37"/>
      <c r="J92" s="37"/>
      <c r="K92" s="37"/>
      <c r="L92" s="37"/>
      <c r="M92" s="37"/>
      <c r="N92" s="37"/>
      <c r="O92" s="37"/>
      <c r="P92" s="37"/>
      <c r="Q92" s="37"/>
      <c r="R92" s="37"/>
      <c r="S92" s="37"/>
      <c r="T92" s="106">
        <f>'Servicer Report'!J28</f>
        <v>12472099.450000001</v>
      </c>
      <c r="U92" s="114"/>
      <c r="V92" s="114"/>
      <c r="W92" s="112"/>
      <c r="X92" s="2"/>
      <c r="Y92" s="3"/>
    </row>
    <row r="93" spans="2:25">
      <c r="B93" s="8"/>
      <c r="C93" s="105" t="s">
        <v>138</v>
      </c>
      <c r="D93" s="37"/>
      <c r="E93" s="37"/>
      <c r="F93" s="37"/>
      <c r="G93" s="37"/>
      <c r="H93" s="37"/>
      <c r="I93" s="37"/>
      <c r="J93" s="37"/>
      <c r="K93" s="37"/>
      <c r="L93" s="37"/>
      <c r="M93" s="37"/>
      <c r="N93" s="37"/>
      <c r="O93" s="37"/>
      <c r="P93" s="37"/>
      <c r="Q93" s="37"/>
      <c r="R93" s="37"/>
      <c r="S93" s="37"/>
      <c r="T93" s="106">
        <v>0</v>
      </c>
      <c r="U93" s="115"/>
      <c r="V93" s="115"/>
      <c r="W93" s="112"/>
      <c r="X93" s="2"/>
      <c r="Y93" s="3"/>
    </row>
    <row r="94" spans="2:25">
      <c r="B94" s="8"/>
      <c r="C94" s="73" t="s">
        <v>139</v>
      </c>
      <c r="D94" s="37"/>
      <c r="E94" s="37"/>
      <c r="F94" s="37"/>
      <c r="G94" s="37"/>
      <c r="H94" s="37"/>
      <c r="I94" s="37"/>
      <c r="J94" s="37"/>
      <c r="K94" s="37"/>
      <c r="L94" s="37"/>
      <c r="M94" s="37"/>
      <c r="N94" s="37"/>
      <c r="O94" s="37"/>
      <c r="P94" s="37"/>
      <c r="Q94" s="37"/>
      <c r="R94" s="37"/>
      <c r="S94" s="37"/>
      <c r="T94" s="282">
        <f>'Servicer Report'!J30</f>
        <v>1974214.7599999998</v>
      </c>
      <c r="U94" s="283"/>
      <c r="V94" s="92"/>
      <c r="W94" s="112"/>
      <c r="X94" s="2"/>
      <c r="Y94" s="3"/>
    </row>
    <row r="95" spans="2:25">
      <c r="B95" s="8"/>
      <c r="C95" s="73" t="s">
        <v>140</v>
      </c>
      <c r="D95" s="37"/>
      <c r="E95" s="37"/>
      <c r="F95" s="37"/>
      <c r="G95" s="37"/>
      <c r="H95" s="37"/>
      <c r="I95" s="37"/>
      <c r="J95" s="37"/>
      <c r="K95" s="37"/>
      <c r="L95" s="37"/>
      <c r="M95" s="37"/>
      <c r="N95" s="37"/>
      <c r="O95" s="37"/>
      <c r="P95" s="37"/>
      <c r="Q95" s="37"/>
      <c r="R95" s="37"/>
      <c r="S95" s="37"/>
      <c r="T95" s="282">
        <v>0</v>
      </c>
      <c r="U95" s="283"/>
      <c r="V95" s="92"/>
      <c r="W95" s="112"/>
      <c r="X95" s="2"/>
      <c r="Y95" s="3"/>
    </row>
    <row r="96" spans="2:25">
      <c r="B96" s="8"/>
      <c r="C96" s="73" t="s">
        <v>141</v>
      </c>
      <c r="D96" s="37"/>
      <c r="E96" s="37"/>
      <c r="F96" s="37"/>
      <c r="G96" s="37"/>
      <c r="H96" s="37"/>
      <c r="I96" s="37"/>
      <c r="J96" s="37"/>
      <c r="K96" s="37"/>
      <c r="L96" s="37"/>
      <c r="M96" s="37"/>
      <c r="N96" s="37"/>
      <c r="O96" s="37"/>
      <c r="P96" s="37"/>
      <c r="Q96" s="37"/>
      <c r="R96" s="37"/>
      <c r="S96" s="37"/>
      <c r="T96" s="282">
        <v>0</v>
      </c>
      <c r="U96" s="283"/>
      <c r="V96" s="92"/>
      <c r="W96" s="112"/>
      <c r="X96" s="2"/>
      <c r="Y96" s="3"/>
    </row>
    <row r="97" spans="2:25" ht="15" thickBot="1">
      <c r="B97" s="8"/>
      <c r="C97" s="73" t="s">
        <v>142</v>
      </c>
      <c r="D97" s="37"/>
      <c r="E97" s="37"/>
      <c r="F97" s="37"/>
      <c r="G97" s="37"/>
      <c r="H97" s="37"/>
      <c r="I97" s="37"/>
      <c r="J97" s="37"/>
      <c r="K97" s="37"/>
      <c r="L97" s="37"/>
      <c r="M97" s="37"/>
      <c r="N97" s="37"/>
      <c r="O97" s="37"/>
      <c r="P97" s="37"/>
      <c r="Q97" s="37"/>
      <c r="R97" s="37"/>
      <c r="S97" s="37"/>
      <c r="T97" s="282">
        <v>1339955383.1731808</v>
      </c>
      <c r="U97" s="283"/>
      <c r="V97" s="92"/>
      <c r="W97" s="112"/>
      <c r="X97" s="2"/>
      <c r="Y97" s="3"/>
    </row>
    <row r="98" spans="2:25" ht="15" thickBot="1">
      <c r="B98" s="8"/>
      <c r="C98" s="276" t="s">
        <v>143</v>
      </c>
      <c r="D98" s="277"/>
      <c r="E98" s="277"/>
      <c r="F98" s="277"/>
      <c r="G98" s="277"/>
      <c r="H98" s="277"/>
      <c r="I98" s="277"/>
      <c r="J98" s="277"/>
      <c r="K98" s="277"/>
      <c r="L98" s="277"/>
      <c r="M98" s="277"/>
      <c r="N98" s="277"/>
      <c r="O98" s="277"/>
      <c r="P98" s="277"/>
      <c r="Q98" s="277"/>
      <c r="R98" s="277"/>
      <c r="S98" s="277"/>
      <c r="T98" s="277"/>
      <c r="U98" s="277"/>
      <c r="V98" s="277"/>
      <c r="W98" s="278"/>
      <c r="X98" s="2"/>
      <c r="Y98" s="3"/>
    </row>
    <row r="99" spans="2:25">
      <c r="B99" s="8"/>
      <c r="C99" s="111" t="s">
        <v>144</v>
      </c>
      <c r="D99" s="37"/>
      <c r="E99" s="37"/>
      <c r="F99" s="37"/>
      <c r="G99" s="37"/>
      <c r="H99" s="37"/>
      <c r="I99" s="37"/>
      <c r="J99" s="37"/>
      <c r="K99" s="37"/>
      <c r="L99" s="37"/>
      <c r="M99" s="37"/>
      <c r="N99" s="37"/>
      <c r="O99" s="37"/>
      <c r="P99" s="37"/>
      <c r="Q99" s="37"/>
      <c r="R99" s="37"/>
      <c r="S99" s="37"/>
      <c r="T99" s="303">
        <f>SUM(T100:U103)</f>
        <v>110094252.9742616</v>
      </c>
      <c r="U99" s="304"/>
      <c r="V99" s="304"/>
      <c r="W99" s="305"/>
      <c r="X99" s="2"/>
      <c r="Y99" s="3"/>
    </row>
    <row r="100" spans="2:25">
      <c r="B100" s="8"/>
      <c r="C100" s="73" t="s">
        <v>145</v>
      </c>
      <c r="D100" s="37"/>
      <c r="E100" s="37"/>
      <c r="F100" s="37"/>
      <c r="G100" s="37"/>
      <c r="H100" s="37"/>
      <c r="I100" s="37"/>
      <c r="J100" s="37"/>
      <c r="K100" s="37"/>
      <c r="L100" s="37"/>
      <c r="M100" s="37"/>
      <c r="N100" s="37"/>
      <c r="O100" s="37"/>
      <c r="P100" s="37"/>
      <c r="Q100" s="37"/>
      <c r="R100" s="37"/>
      <c r="S100" s="37"/>
      <c r="T100" s="282">
        <f>T60</f>
        <v>237740.04242856801</v>
      </c>
      <c r="U100" s="283"/>
      <c r="V100" s="92"/>
      <c r="W100" s="2"/>
      <c r="X100" s="2"/>
      <c r="Y100" s="3"/>
    </row>
    <row r="101" spans="2:25">
      <c r="B101" s="8"/>
      <c r="C101" s="73" t="s">
        <v>146</v>
      </c>
      <c r="D101" s="37"/>
      <c r="E101" s="37"/>
      <c r="F101" s="37"/>
      <c r="G101" s="37"/>
      <c r="H101" s="37"/>
      <c r="I101" s="37"/>
      <c r="J101" s="37"/>
      <c r="K101" s="37"/>
      <c r="L101" s="37"/>
      <c r="M101" s="37"/>
      <c r="N101" s="37"/>
      <c r="O101" s="37"/>
      <c r="P101" s="37"/>
      <c r="Q101" s="37"/>
      <c r="R101" s="37"/>
      <c r="S101" s="37"/>
      <c r="T101" s="282">
        <f>T64+T67+T70-T87+T62+T85-T103</f>
        <v>82955512.931833029</v>
      </c>
      <c r="U101" s="283"/>
      <c r="V101" s="92"/>
      <c r="W101" s="2"/>
      <c r="X101" s="2"/>
      <c r="Y101" s="3"/>
    </row>
    <row r="102" spans="2:25">
      <c r="B102" s="8"/>
      <c r="C102" s="73" t="s">
        <v>108</v>
      </c>
      <c r="D102" s="37"/>
      <c r="E102" s="37"/>
      <c r="F102" s="37"/>
      <c r="G102" s="37"/>
      <c r="H102" s="37"/>
      <c r="I102" s="37"/>
      <c r="J102" s="37"/>
      <c r="K102" s="37"/>
      <c r="L102" s="37"/>
      <c r="M102" s="37"/>
      <c r="N102" s="37"/>
      <c r="O102" s="37"/>
      <c r="P102" s="37"/>
      <c r="Q102" s="37"/>
      <c r="R102" s="37"/>
      <c r="S102" s="37"/>
      <c r="T102" s="282">
        <f>Q218</f>
        <v>0</v>
      </c>
      <c r="U102" s="283"/>
      <c r="V102" s="92"/>
      <c r="W102" s="2"/>
      <c r="X102" s="2"/>
      <c r="Y102" s="3"/>
    </row>
    <row r="103" spans="2:25" ht="15" thickBot="1">
      <c r="B103" s="8"/>
      <c r="C103" s="116" t="s">
        <v>109</v>
      </c>
      <c r="D103" s="117"/>
      <c r="E103" s="117"/>
      <c r="F103" s="117"/>
      <c r="G103" s="117"/>
      <c r="H103" s="117"/>
      <c r="I103" s="117"/>
      <c r="J103" s="117"/>
      <c r="K103" s="117"/>
      <c r="L103" s="117"/>
      <c r="M103" s="117"/>
      <c r="N103" s="117"/>
      <c r="O103" s="117"/>
      <c r="P103" s="117"/>
      <c r="Q103" s="117"/>
      <c r="R103" s="117"/>
      <c r="S103" s="117"/>
      <c r="T103" s="309">
        <f>+Q209</f>
        <v>26901000</v>
      </c>
      <c r="U103" s="310"/>
      <c r="V103" s="118"/>
      <c r="W103" s="119"/>
      <c r="X103" s="2"/>
      <c r="Y103" s="3"/>
    </row>
    <row r="104" spans="2:25" ht="15" thickBot="1">
      <c r="B104" s="8"/>
      <c r="C104" s="120"/>
      <c r="D104" s="3"/>
      <c r="E104" s="3"/>
      <c r="F104" s="3"/>
      <c r="G104" s="3"/>
      <c r="H104" s="3"/>
      <c r="I104" s="3"/>
      <c r="J104" s="3"/>
      <c r="K104" s="3"/>
      <c r="L104" s="3"/>
      <c r="M104" s="3"/>
      <c r="N104" s="3"/>
      <c r="O104" s="3"/>
      <c r="P104" s="3"/>
      <c r="Q104" s="3"/>
      <c r="R104" s="3"/>
      <c r="S104" s="3"/>
      <c r="T104" s="3"/>
      <c r="U104" s="3"/>
      <c r="V104" s="3"/>
      <c r="W104" s="2"/>
      <c r="X104" s="2"/>
      <c r="Y104" s="3"/>
    </row>
    <row r="105" spans="2:25" ht="15" thickBot="1">
      <c r="B105" s="8"/>
      <c r="C105" s="267" t="s">
        <v>147</v>
      </c>
      <c r="D105" s="268"/>
      <c r="E105" s="268"/>
      <c r="F105" s="268"/>
      <c r="G105" s="268"/>
      <c r="H105" s="268"/>
      <c r="I105" s="268"/>
      <c r="J105" s="268"/>
      <c r="K105" s="268"/>
      <c r="L105" s="268"/>
      <c r="M105" s="268"/>
      <c r="N105" s="268"/>
      <c r="O105" s="268"/>
      <c r="P105" s="268"/>
      <c r="Q105" s="268"/>
      <c r="R105" s="268"/>
      <c r="S105" s="268"/>
      <c r="T105" s="268"/>
      <c r="U105" s="268"/>
      <c r="V105" s="268"/>
      <c r="W105" s="269"/>
      <c r="X105" s="2"/>
      <c r="Y105" s="3"/>
    </row>
    <row r="106" spans="2:25">
      <c r="B106" s="8"/>
      <c r="C106" s="111" t="s">
        <v>148</v>
      </c>
      <c r="D106" s="121"/>
      <c r="E106" s="121"/>
      <c r="F106" s="121"/>
      <c r="G106" s="121"/>
      <c r="H106" s="121"/>
      <c r="I106" s="121"/>
      <c r="J106" s="121"/>
      <c r="K106" s="121"/>
      <c r="L106" s="121"/>
      <c r="M106" s="121"/>
      <c r="N106" s="121"/>
      <c r="O106" s="121"/>
      <c r="P106" s="121"/>
      <c r="Q106" s="121"/>
      <c r="R106" s="121"/>
      <c r="S106" s="122"/>
      <c r="T106" s="279">
        <f>T107+T108+T109-T110+T111+T112</f>
        <v>51901275.504999988</v>
      </c>
      <c r="U106" s="280"/>
      <c r="V106" s="280"/>
      <c r="W106" s="281"/>
      <c r="X106" s="2"/>
      <c r="Y106" s="3"/>
    </row>
    <row r="107" spans="2:25">
      <c r="B107" s="8"/>
      <c r="C107" s="73" t="s">
        <v>149</v>
      </c>
      <c r="D107" s="37"/>
      <c r="E107" s="37"/>
      <c r="F107" s="37"/>
      <c r="G107" s="37"/>
      <c r="H107" s="37"/>
      <c r="I107" s="37"/>
      <c r="J107" s="37"/>
      <c r="K107" s="37"/>
      <c r="L107" s="37"/>
      <c r="M107" s="37"/>
      <c r="N107" s="37"/>
      <c r="O107" s="37"/>
      <c r="P107" s="37"/>
      <c r="Q107" s="37"/>
      <c r="R107" s="37"/>
      <c r="S107" s="99"/>
      <c r="T107" s="306">
        <f>T71+T72+T85+T80+T81-T92</f>
        <v>53875490.264999986</v>
      </c>
      <c r="U107" s="307"/>
      <c r="V107" s="92"/>
      <c r="W107" s="70"/>
      <c r="X107" s="2"/>
      <c r="Y107" s="3"/>
    </row>
    <row r="108" spans="2:25">
      <c r="B108" s="8"/>
      <c r="C108" s="73" t="s">
        <v>150</v>
      </c>
      <c r="D108" s="37"/>
      <c r="E108" s="37"/>
      <c r="F108" s="37"/>
      <c r="G108" s="37"/>
      <c r="H108" s="37"/>
      <c r="I108" s="37"/>
      <c r="J108" s="37"/>
      <c r="K108" s="37"/>
      <c r="L108" s="37"/>
      <c r="M108" s="37"/>
      <c r="N108" s="37"/>
      <c r="O108" s="37"/>
      <c r="P108" s="37"/>
      <c r="Q108" s="37"/>
      <c r="R108" s="37"/>
      <c r="S108" s="99"/>
      <c r="T108" s="282">
        <f>IF('Servicer Report'!L62&gt;'Servicer Report'!I62,'Servicer Report'!L62*50%,0)</f>
        <v>0</v>
      </c>
      <c r="U108" s="283"/>
      <c r="V108" s="123"/>
      <c r="W108" s="104"/>
      <c r="X108" s="2"/>
      <c r="Y108" s="3"/>
    </row>
    <row r="109" spans="2:25">
      <c r="B109" s="8"/>
      <c r="C109" s="73" t="s">
        <v>151</v>
      </c>
      <c r="D109" s="37"/>
      <c r="E109" s="37"/>
      <c r="F109" s="37"/>
      <c r="G109" s="37"/>
      <c r="H109" s="37"/>
      <c r="I109" s="37"/>
      <c r="J109" s="37"/>
      <c r="K109" s="37"/>
      <c r="L109" s="37"/>
      <c r="M109" s="37"/>
      <c r="N109" s="37"/>
      <c r="O109" s="37"/>
      <c r="P109" s="37"/>
      <c r="Q109" s="37"/>
      <c r="R109" s="37"/>
      <c r="S109" s="99"/>
      <c r="T109" s="282">
        <v>0</v>
      </c>
      <c r="U109" s="283"/>
      <c r="V109" s="123"/>
      <c r="W109" s="104"/>
      <c r="X109" s="2"/>
      <c r="Y109" s="3"/>
    </row>
    <row r="110" spans="2:25">
      <c r="B110" s="8"/>
      <c r="C110" s="73" t="s">
        <v>152</v>
      </c>
      <c r="D110" s="37"/>
      <c r="E110" s="37"/>
      <c r="F110" s="37"/>
      <c r="G110" s="37"/>
      <c r="H110" s="37"/>
      <c r="I110" s="37"/>
      <c r="J110" s="37"/>
      <c r="K110" s="37"/>
      <c r="L110" s="37"/>
      <c r="M110" s="37"/>
      <c r="N110" s="37"/>
      <c r="O110" s="37"/>
      <c r="P110" s="37"/>
      <c r="Q110" s="37"/>
      <c r="R110" s="37"/>
      <c r="S110" s="99"/>
      <c r="T110" s="282">
        <f>'Servicer Report'!J30</f>
        <v>1974214.7599999998</v>
      </c>
      <c r="U110" s="283"/>
      <c r="V110" s="123"/>
      <c r="W110" s="104"/>
      <c r="X110" s="2"/>
      <c r="Y110" s="3"/>
    </row>
    <row r="111" spans="2:25">
      <c r="B111" s="8"/>
      <c r="C111" s="73" t="s">
        <v>153</v>
      </c>
      <c r="D111" s="37"/>
      <c r="E111" s="37"/>
      <c r="F111" s="37"/>
      <c r="G111" s="37"/>
      <c r="H111" s="37"/>
      <c r="I111" s="37"/>
      <c r="J111" s="37"/>
      <c r="K111" s="37"/>
      <c r="L111" s="37"/>
      <c r="M111" s="37"/>
      <c r="N111" s="37"/>
      <c r="O111" s="37"/>
      <c r="P111" s="37"/>
      <c r="Q111" s="37"/>
      <c r="R111" s="37"/>
      <c r="S111" s="99"/>
      <c r="T111" s="282">
        <v>0</v>
      </c>
      <c r="U111" s="283"/>
      <c r="V111" s="92"/>
      <c r="W111" s="104"/>
      <c r="X111" s="2"/>
      <c r="Y111" s="3"/>
    </row>
    <row r="112" spans="2:25" ht="15" thickBot="1">
      <c r="B112" s="8"/>
      <c r="C112" s="116" t="s">
        <v>154</v>
      </c>
      <c r="D112" s="117"/>
      <c r="E112" s="117"/>
      <c r="F112" s="117"/>
      <c r="G112" s="117"/>
      <c r="H112" s="117"/>
      <c r="I112" s="117"/>
      <c r="J112" s="117"/>
      <c r="K112" s="117"/>
      <c r="L112" s="117"/>
      <c r="M112" s="117"/>
      <c r="N112" s="117"/>
      <c r="O112" s="117"/>
      <c r="P112" s="117"/>
      <c r="Q112" s="117"/>
      <c r="R112" s="117"/>
      <c r="S112" s="124"/>
      <c r="T112" s="298">
        <v>0</v>
      </c>
      <c r="U112" s="299"/>
      <c r="V112" s="96"/>
      <c r="W112" s="125"/>
      <c r="X112" s="2"/>
      <c r="Y112" s="3"/>
    </row>
    <row r="113" spans="2:25" ht="15" thickBot="1">
      <c r="B113" s="8"/>
      <c r="C113" s="120"/>
      <c r="D113" s="3"/>
      <c r="E113" s="3"/>
      <c r="F113" s="3"/>
      <c r="G113" s="3"/>
      <c r="H113" s="3"/>
      <c r="I113" s="3"/>
      <c r="J113" s="3"/>
      <c r="K113" s="126"/>
      <c r="L113" s="126"/>
      <c r="M113" s="126"/>
      <c r="N113" s="126"/>
      <c r="O113" s="126"/>
      <c r="P113" s="126"/>
      <c r="Q113" s="126"/>
      <c r="R113" s="126"/>
      <c r="S113" s="126"/>
      <c r="T113" s="126"/>
      <c r="U113" s="126"/>
      <c r="V113" s="127"/>
      <c r="W113" s="2"/>
      <c r="X113" s="2"/>
      <c r="Y113" s="3"/>
    </row>
    <row r="114" spans="2:25" ht="15" thickBot="1">
      <c r="B114" s="8"/>
      <c r="C114" s="267" t="s">
        <v>155</v>
      </c>
      <c r="D114" s="268"/>
      <c r="E114" s="268"/>
      <c r="F114" s="268"/>
      <c r="G114" s="268"/>
      <c r="H114" s="268"/>
      <c r="I114" s="268"/>
      <c r="J114" s="268"/>
      <c r="K114" s="268"/>
      <c r="L114" s="268"/>
      <c r="M114" s="268"/>
      <c r="N114" s="268"/>
      <c r="O114" s="268"/>
      <c r="P114" s="268"/>
      <c r="Q114" s="268"/>
      <c r="R114" s="268"/>
      <c r="S114" s="268"/>
      <c r="T114" s="268"/>
      <c r="U114" s="268"/>
      <c r="V114" s="268"/>
      <c r="W114" s="269"/>
      <c r="X114" s="2"/>
      <c r="Y114" s="3"/>
    </row>
    <row r="115" spans="2:25">
      <c r="B115" s="8"/>
      <c r="C115" s="128" t="s">
        <v>156</v>
      </c>
      <c r="D115" s="13"/>
      <c r="E115" s="13"/>
      <c r="F115" s="13"/>
      <c r="G115" s="13"/>
      <c r="H115" s="13"/>
      <c r="I115" s="13"/>
      <c r="J115" s="13"/>
      <c r="K115" s="13"/>
      <c r="L115" s="13"/>
      <c r="M115" s="13"/>
      <c r="N115" s="13"/>
      <c r="O115" s="13"/>
      <c r="P115" s="13"/>
      <c r="Q115" s="13"/>
      <c r="R115" s="13"/>
      <c r="S115" s="129"/>
      <c r="T115" s="284">
        <f>T106</f>
        <v>51901275.504999988</v>
      </c>
      <c r="U115" s="285"/>
      <c r="V115" s="285"/>
      <c r="W115" s="308"/>
      <c r="X115" s="2"/>
      <c r="Y115" s="3"/>
    </row>
    <row r="116" spans="2:25">
      <c r="B116" s="8"/>
      <c r="C116" s="130" t="s">
        <v>157</v>
      </c>
      <c r="D116" s="22"/>
      <c r="E116" s="22"/>
      <c r="F116" s="22"/>
      <c r="G116" s="22"/>
      <c r="H116" s="22"/>
      <c r="I116" s="22"/>
      <c r="J116" s="22"/>
      <c r="K116" s="22"/>
      <c r="L116" s="22"/>
      <c r="M116" s="22"/>
      <c r="N116" s="22"/>
      <c r="O116" s="22"/>
      <c r="P116" s="22"/>
      <c r="Q116" s="22"/>
      <c r="R116" s="22"/>
      <c r="S116" s="131"/>
      <c r="T116" s="319">
        <f>P170</f>
        <v>85099972.509491548</v>
      </c>
      <c r="U116" s="320"/>
      <c r="V116" s="320"/>
      <c r="W116" s="321"/>
      <c r="X116" s="2"/>
      <c r="Y116" s="3"/>
    </row>
    <row r="117" spans="2:25" ht="15" thickBot="1">
      <c r="B117" s="8"/>
      <c r="C117" s="132" t="s">
        <v>158</v>
      </c>
      <c r="D117" s="28"/>
      <c r="E117" s="28"/>
      <c r="F117" s="28"/>
      <c r="G117" s="28"/>
      <c r="H117" s="28"/>
      <c r="I117" s="28"/>
      <c r="J117" s="28"/>
      <c r="K117" s="28"/>
      <c r="L117" s="28"/>
      <c r="M117" s="28"/>
      <c r="N117" s="28"/>
      <c r="O117" s="28"/>
      <c r="P117" s="28"/>
      <c r="Q117" s="28"/>
      <c r="R117" s="28"/>
      <c r="S117" s="133"/>
      <c r="T117" s="322">
        <f>MAX(T115-T116,0)</f>
        <v>0</v>
      </c>
      <c r="U117" s="323"/>
      <c r="V117" s="323"/>
      <c r="W117" s="324"/>
      <c r="X117" s="2"/>
      <c r="Y117" s="3"/>
    </row>
    <row r="118" spans="2:25" ht="15" thickBot="1">
      <c r="B118" s="8"/>
      <c r="C118" s="120"/>
      <c r="D118" s="3"/>
      <c r="E118" s="3"/>
      <c r="F118" s="3"/>
      <c r="G118" s="3"/>
      <c r="H118" s="3"/>
      <c r="I118" s="3"/>
      <c r="J118" s="3"/>
      <c r="K118" s="3"/>
      <c r="L118" s="3"/>
      <c r="M118" s="3"/>
      <c r="N118" s="3"/>
      <c r="O118" s="3"/>
      <c r="P118" s="3"/>
      <c r="Q118" s="126"/>
      <c r="R118" s="126"/>
      <c r="S118" s="126"/>
      <c r="T118" s="126"/>
      <c r="U118" s="126"/>
      <c r="V118" s="127"/>
      <c r="W118" s="2"/>
      <c r="X118" s="2"/>
      <c r="Y118" s="3"/>
    </row>
    <row r="119" spans="2:25" ht="15" thickBot="1">
      <c r="B119" s="8"/>
      <c r="C119" s="267" t="s">
        <v>159</v>
      </c>
      <c r="D119" s="268"/>
      <c r="E119" s="268"/>
      <c r="F119" s="268"/>
      <c r="G119" s="268"/>
      <c r="H119" s="268"/>
      <c r="I119" s="268"/>
      <c r="J119" s="268"/>
      <c r="K119" s="268"/>
      <c r="L119" s="268"/>
      <c r="M119" s="268"/>
      <c r="N119" s="268"/>
      <c r="O119" s="268"/>
      <c r="P119" s="268"/>
      <c r="Q119" s="268"/>
      <c r="R119" s="268"/>
      <c r="S119" s="268"/>
      <c r="T119" s="268"/>
      <c r="U119" s="268"/>
      <c r="V119" s="268"/>
      <c r="W119" s="269"/>
      <c r="X119" s="2"/>
      <c r="Y119" s="3"/>
    </row>
    <row r="120" spans="2:25">
      <c r="B120" s="8"/>
      <c r="C120" s="134"/>
      <c r="D120" s="135"/>
      <c r="E120" s="135"/>
      <c r="F120" s="135"/>
      <c r="G120" s="135"/>
      <c r="H120" s="135"/>
      <c r="I120" s="135"/>
      <c r="J120" s="135"/>
      <c r="K120" s="135"/>
      <c r="L120" s="325" t="s">
        <v>160</v>
      </c>
      <c r="M120" s="326"/>
      <c r="N120" s="327"/>
      <c r="O120" s="328" t="s">
        <v>161</v>
      </c>
      <c r="P120" s="329"/>
      <c r="Q120" s="330"/>
      <c r="R120" s="328" t="s">
        <v>162</v>
      </c>
      <c r="S120" s="329"/>
      <c r="T120" s="330"/>
      <c r="U120" s="328" t="s">
        <v>163</v>
      </c>
      <c r="V120" s="329"/>
      <c r="W120" s="331"/>
      <c r="X120" s="2"/>
      <c r="Y120" s="3"/>
    </row>
    <row r="121" spans="2:25">
      <c r="B121" s="8"/>
      <c r="C121" s="130" t="s">
        <v>164</v>
      </c>
      <c r="D121" s="33"/>
      <c r="E121" s="33"/>
      <c r="F121" s="33"/>
      <c r="G121" s="33"/>
      <c r="H121" s="33"/>
      <c r="I121" s="33"/>
      <c r="J121" s="33"/>
      <c r="K121" s="33"/>
      <c r="L121" s="311">
        <v>0</v>
      </c>
      <c r="M121" s="312"/>
      <c r="N121" s="313"/>
      <c r="O121" s="311">
        <v>0</v>
      </c>
      <c r="P121" s="312"/>
      <c r="Q121" s="313"/>
      <c r="R121" s="311" t="s">
        <v>165</v>
      </c>
      <c r="S121" s="312"/>
      <c r="T121" s="313"/>
      <c r="U121" s="311" t="s">
        <v>165</v>
      </c>
      <c r="V121" s="312"/>
      <c r="W121" s="314"/>
      <c r="X121" s="2"/>
      <c r="Y121" s="3"/>
    </row>
    <row r="122" spans="2:25" ht="15" thickBot="1">
      <c r="B122" s="8"/>
      <c r="C122" s="132" t="s">
        <v>166</v>
      </c>
      <c r="D122" s="117"/>
      <c r="E122" s="117"/>
      <c r="F122" s="117"/>
      <c r="G122" s="117"/>
      <c r="H122" s="117"/>
      <c r="I122" s="117"/>
      <c r="J122" s="117"/>
      <c r="K122" s="117"/>
      <c r="L122" s="315">
        <v>0</v>
      </c>
      <c r="M122" s="316"/>
      <c r="N122" s="317"/>
      <c r="O122" s="315">
        <v>0</v>
      </c>
      <c r="P122" s="316"/>
      <c r="Q122" s="317"/>
      <c r="R122" s="315" t="s">
        <v>165</v>
      </c>
      <c r="S122" s="316"/>
      <c r="T122" s="317"/>
      <c r="U122" s="315" t="s">
        <v>165</v>
      </c>
      <c r="V122" s="316"/>
      <c r="W122" s="318"/>
      <c r="X122" s="2"/>
      <c r="Y122" s="3"/>
    </row>
    <row r="123" spans="2:25" ht="15" thickBot="1">
      <c r="B123" s="8"/>
      <c r="C123" s="120"/>
      <c r="D123" s="3"/>
      <c r="E123" s="3"/>
      <c r="F123" s="3"/>
      <c r="G123" s="3"/>
      <c r="H123" s="3"/>
      <c r="I123" s="3"/>
      <c r="J123" s="3"/>
      <c r="K123" s="3"/>
      <c r="L123" s="3"/>
      <c r="M123" s="3"/>
      <c r="N123" s="3"/>
      <c r="O123" s="3"/>
      <c r="P123" s="3"/>
      <c r="Q123" s="3"/>
      <c r="R123" s="3"/>
      <c r="S123" s="3"/>
      <c r="T123" s="3"/>
      <c r="U123" s="3"/>
      <c r="V123" s="3"/>
      <c r="W123" s="2"/>
      <c r="X123" s="2"/>
      <c r="Y123" s="3"/>
    </row>
    <row r="124" spans="2:25" ht="15" thickBot="1">
      <c r="B124" s="8"/>
      <c r="C124" s="267" t="s">
        <v>167</v>
      </c>
      <c r="D124" s="268"/>
      <c r="E124" s="268"/>
      <c r="F124" s="268"/>
      <c r="G124" s="268"/>
      <c r="H124" s="268"/>
      <c r="I124" s="268"/>
      <c r="J124" s="268"/>
      <c r="K124" s="268"/>
      <c r="L124" s="268"/>
      <c r="M124" s="268"/>
      <c r="N124" s="268"/>
      <c r="O124" s="268"/>
      <c r="P124" s="268"/>
      <c r="Q124" s="268"/>
      <c r="R124" s="268"/>
      <c r="S124" s="268"/>
      <c r="T124" s="268"/>
      <c r="U124" s="268"/>
      <c r="V124" s="268"/>
      <c r="W124" s="269"/>
      <c r="X124" s="2"/>
      <c r="Y124" s="3"/>
    </row>
    <row r="125" spans="2:25">
      <c r="B125" s="8"/>
      <c r="C125" s="73" t="s">
        <v>168</v>
      </c>
      <c r="D125" s="37"/>
      <c r="E125" s="37"/>
      <c r="F125" s="37"/>
      <c r="G125" s="37"/>
      <c r="H125" s="37"/>
      <c r="I125" s="37"/>
      <c r="J125" s="37"/>
      <c r="K125" s="37"/>
      <c r="L125" s="37"/>
      <c r="M125" s="37"/>
      <c r="N125" s="37"/>
      <c r="O125" s="37"/>
      <c r="P125" s="37"/>
      <c r="Q125" s="37"/>
      <c r="R125" s="37"/>
      <c r="S125" s="37"/>
      <c r="T125" s="334" t="s">
        <v>169</v>
      </c>
      <c r="U125" s="335"/>
      <c r="V125" s="136"/>
      <c r="W125" s="137"/>
      <c r="X125" s="2"/>
      <c r="Y125" s="3"/>
    </row>
    <row r="126" spans="2:25">
      <c r="B126" s="8"/>
      <c r="C126" s="73" t="s">
        <v>170</v>
      </c>
      <c r="D126" s="37"/>
      <c r="E126" s="37"/>
      <c r="F126" s="37"/>
      <c r="G126" s="37"/>
      <c r="H126" s="37"/>
      <c r="I126" s="37"/>
      <c r="J126" s="37"/>
      <c r="K126" s="37"/>
      <c r="L126" s="37"/>
      <c r="M126" s="37"/>
      <c r="N126" s="37"/>
      <c r="O126" s="37"/>
      <c r="P126" s="37"/>
      <c r="Q126" s="37"/>
      <c r="R126" s="37"/>
      <c r="S126" s="37"/>
      <c r="T126" s="334" t="s">
        <v>169</v>
      </c>
      <c r="U126" s="335"/>
      <c r="V126" s="136"/>
      <c r="W126" s="137"/>
      <c r="X126" s="2"/>
      <c r="Y126" s="3"/>
    </row>
    <row r="127" spans="2:25">
      <c r="B127" s="8"/>
      <c r="C127" s="73" t="s">
        <v>171</v>
      </c>
      <c r="D127" s="37"/>
      <c r="E127" s="37"/>
      <c r="F127" s="37"/>
      <c r="G127" s="37"/>
      <c r="H127" s="37"/>
      <c r="I127" s="37"/>
      <c r="J127" s="37"/>
      <c r="K127" s="37"/>
      <c r="L127" s="37"/>
      <c r="M127" s="37"/>
      <c r="N127" s="37"/>
      <c r="O127" s="37"/>
      <c r="P127" s="37"/>
      <c r="Q127" s="37"/>
      <c r="R127" s="37"/>
      <c r="S127" s="37"/>
      <c r="T127" s="334" t="s">
        <v>165</v>
      </c>
      <c r="U127" s="335"/>
      <c r="V127" s="136"/>
      <c r="W127" s="137"/>
      <c r="X127" s="2"/>
      <c r="Y127" s="3"/>
    </row>
    <row r="128" spans="2:25">
      <c r="B128" s="8"/>
      <c r="C128" s="128" t="s">
        <v>172</v>
      </c>
      <c r="D128" s="103"/>
      <c r="E128" s="103"/>
      <c r="F128" s="103"/>
      <c r="G128" s="103"/>
      <c r="H128" s="103"/>
      <c r="I128" s="103"/>
      <c r="J128" s="103"/>
      <c r="K128" s="103"/>
      <c r="L128" s="103"/>
      <c r="M128" s="103"/>
      <c r="N128" s="103"/>
      <c r="O128" s="103"/>
      <c r="P128" s="103"/>
      <c r="Q128" s="103"/>
      <c r="R128" s="103"/>
      <c r="S128" s="103"/>
      <c r="T128" s="336" t="s">
        <v>169</v>
      </c>
      <c r="U128" s="337"/>
      <c r="V128" s="337"/>
      <c r="W128" s="338"/>
      <c r="X128" s="2"/>
      <c r="Y128" s="3"/>
    </row>
    <row r="129" spans="2:25">
      <c r="B129" s="8"/>
      <c r="C129" s="138" t="s">
        <v>173</v>
      </c>
      <c r="D129" s="91"/>
      <c r="E129" s="91"/>
      <c r="F129" s="91"/>
      <c r="G129" s="91"/>
      <c r="H129" s="91"/>
      <c r="I129" s="91"/>
      <c r="J129" s="91"/>
      <c r="K129" s="91"/>
      <c r="L129" s="91"/>
      <c r="M129" s="91"/>
      <c r="N129" s="91"/>
      <c r="O129" s="91"/>
      <c r="P129" s="91"/>
      <c r="Q129" s="139"/>
      <c r="R129" s="140"/>
      <c r="S129" s="140"/>
      <c r="T129" s="339" t="s">
        <v>169</v>
      </c>
      <c r="U129" s="340"/>
      <c r="V129" s="141"/>
      <c r="W129" s="142"/>
      <c r="X129" s="2"/>
      <c r="Y129" s="3"/>
    </row>
    <row r="130" spans="2:25">
      <c r="B130" s="8"/>
      <c r="C130" s="105" t="s">
        <v>174</v>
      </c>
      <c r="D130" s="37"/>
      <c r="E130" s="37"/>
      <c r="F130" s="37"/>
      <c r="G130" s="37"/>
      <c r="H130" s="37"/>
      <c r="I130" s="37"/>
      <c r="J130" s="37"/>
      <c r="K130" s="37"/>
      <c r="L130" s="37"/>
      <c r="M130" s="37"/>
      <c r="N130" s="37"/>
      <c r="O130" s="37"/>
      <c r="P130" s="37"/>
      <c r="Q130" s="140"/>
      <c r="R130" s="140"/>
      <c r="S130" s="140"/>
      <c r="T130" s="332" t="s">
        <v>169</v>
      </c>
      <c r="U130" s="333"/>
      <c r="V130" s="141"/>
      <c r="W130" s="142"/>
      <c r="X130" s="2"/>
      <c r="Y130" s="3"/>
    </row>
    <row r="131" spans="2:25">
      <c r="B131" s="8"/>
      <c r="C131" s="105" t="s">
        <v>175</v>
      </c>
      <c r="D131" s="37"/>
      <c r="E131" s="37"/>
      <c r="F131" s="37"/>
      <c r="G131" s="37"/>
      <c r="H131" s="37"/>
      <c r="I131" s="37"/>
      <c r="J131" s="37"/>
      <c r="K131" s="37"/>
      <c r="L131" s="37"/>
      <c r="M131" s="37"/>
      <c r="N131" s="37"/>
      <c r="O131" s="37"/>
      <c r="P131" s="37"/>
      <c r="Q131" s="140"/>
      <c r="R131" s="140"/>
      <c r="S131" s="140"/>
      <c r="T131" s="332" t="s">
        <v>169</v>
      </c>
      <c r="U131" s="333"/>
      <c r="V131" s="141"/>
      <c r="W131" s="142"/>
      <c r="X131" s="2"/>
      <c r="Y131" s="3"/>
    </row>
    <row r="132" spans="2:25">
      <c r="B132" s="8"/>
      <c r="C132" s="105" t="s">
        <v>176</v>
      </c>
      <c r="D132" s="37"/>
      <c r="E132" s="37"/>
      <c r="F132" s="37"/>
      <c r="G132" s="37"/>
      <c r="H132" s="37"/>
      <c r="I132" s="37"/>
      <c r="J132" s="37"/>
      <c r="K132" s="37"/>
      <c r="L132" s="37"/>
      <c r="M132" s="37"/>
      <c r="N132" s="37"/>
      <c r="O132" s="37"/>
      <c r="P132" s="37"/>
      <c r="Q132" s="140"/>
      <c r="R132" s="140"/>
      <c r="S132" s="140"/>
      <c r="T132" s="332" t="s">
        <v>165</v>
      </c>
      <c r="U132" s="333"/>
      <c r="V132" s="141"/>
      <c r="W132" s="142"/>
      <c r="X132" s="2"/>
      <c r="Y132" s="3"/>
    </row>
    <row r="133" spans="2:25">
      <c r="B133" s="8"/>
      <c r="C133" s="105" t="s">
        <v>177</v>
      </c>
      <c r="D133" s="37"/>
      <c r="E133" s="37"/>
      <c r="F133" s="37"/>
      <c r="G133" s="37"/>
      <c r="H133" s="37"/>
      <c r="I133" s="37"/>
      <c r="J133" s="37"/>
      <c r="K133" s="37"/>
      <c r="L133" s="37"/>
      <c r="M133" s="37"/>
      <c r="N133" s="37"/>
      <c r="O133" s="37"/>
      <c r="P133" s="37"/>
      <c r="Q133" s="140"/>
      <c r="R133" s="140"/>
      <c r="S133" s="140"/>
      <c r="T133" s="332" t="s">
        <v>165</v>
      </c>
      <c r="U133" s="333"/>
      <c r="V133" s="141"/>
      <c r="W133" s="142"/>
      <c r="X133" s="2"/>
      <c r="Y133" s="3"/>
    </row>
    <row r="134" spans="2:25">
      <c r="B134" s="8"/>
      <c r="C134" s="105" t="s">
        <v>178</v>
      </c>
      <c r="D134" s="37"/>
      <c r="E134" s="37"/>
      <c r="F134" s="37"/>
      <c r="G134" s="37"/>
      <c r="H134" s="37"/>
      <c r="I134" s="37"/>
      <c r="J134" s="37"/>
      <c r="K134" s="37"/>
      <c r="L134" s="37"/>
      <c r="M134" s="37"/>
      <c r="N134" s="37"/>
      <c r="O134" s="37"/>
      <c r="P134" s="37"/>
      <c r="Q134" s="140"/>
      <c r="R134" s="140"/>
      <c r="S134" s="140"/>
      <c r="T134" s="332" t="s">
        <v>165</v>
      </c>
      <c r="U134" s="333"/>
      <c r="V134" s="141"/>
      <c r="W134" s="142"/>
      <c r="X134" s="2"/>
      <c r="Y134" s="3"/>
    </row>
    <row r="135" spans="2:25">
      <c r="B135" s="8"/>
      <c r="C135" s="105" t="s">
        <v>179</v>
      </c>
      <c r="D135" s="37"/>
      <c r="E135" s="37"/>
      <c r="F135" s="37"/>
      <c r="G135" s="37"/>
      <c r="H135" s="37"/>
      <c r="I135" s="37"/>
      <c r="J135" s="37"/>
      <c r="K135" s="37"/>
      <c r="L135" s="37"/>
      <c r="M135" s="37"/>
      <c r="N135" s="37"/>
      <c r="O135" s="37"/>
      <c r="P135" s="37"/>
      <c r="Q135" s="140"/>
      <c r="R135" s="140"/>
      <c r="S135" s="140"/>
      <c r="T135" s="332" t="s">
        <v>165</v>
      </c>
      <c r="U135" s="333"/>
      <c r="V135" s="141"/>
      <c r="W135" s="142"/>
      <c r="X135" s="2"/>
      <c r="Y135" s="3"/>
    </row>
    <row r="136" spans="2:25">
      <c r="B136" s="8"/>
      <c r="C136" s="105" t="s">
        <v>180</v>
      </c>
      <c r="D136" s="37"/>
      <c r="E136" s="37"/>
      <c r="F136" s="37"/>
      <c r="G136" s="37"/>
      <c r="H136" s="37"/>
      <c r="I136" s="37"/>
      <c r="J136" s="37"/>
      <c r="K136" s="37"/>
      <c r="L136" s="37"/>
      <c r="M136" s="37"/>
      <c r="N136" s="37"/>
      <c r="O136" s="37"/>
      <c r="P136" s="37"/>
      <c r="Q136" s="140"/>
      <c r="R136" s="140"/>
      <c r="S136" s="140"/>
      <c r="T136" s="332" t="s">
        <v>165</v>
      </c>
      <c r="U136" s="333"/>
      <c r="V136" s="141"/>
      <c r="W136" s="142"/>
      <c r="X136" s="2"/>
      <c r="Y136" s="3"/>
    </row>
    <row r="137" spans="2:25">
      <c r="B137" s="8"/>
      <c r="C137" s="128" t="s">
        <v>181</v>
      </c>
      <c r="D137" s="103"/>
      <c r="E137" s="103"/>
      <c r="F137" s="103"/>
      <c r="G137" s="103"/>
      <c r="H137" s="103"/>
      <c r="I137" s="103"/>
      <c r="J137" s="103"/>
      <c r="K137" s="103"/>
      <c r="L137" s="103"/>
      <c r="M137" s="103"/>
      <c r="N137" s="103"/>
      <c r="O137" s="103"/>
      <c r="P137" s="103"/>
      <c r="Q137" s="143"/>
      <c r="R137" s="143"/>
      <c r="S137" s="143"/>
      <c r="T137" s="336" t="s">
        <v>169</v>
      </c>
      <c r="U137" s="337"/>
      <c r="V137" s="337"/>
      <c r="W137" s="338"/>
      <c r="X137" s="2"/>
      <c r="Y137" s="3"/>
    </row>
    <row r="138" spans="2:25">
      <c r="B138" s="8"/>
      <c r="C138" s="138" t="s">
        <v>182</v>
      </c>
      <c r="D138" s="91"/>
      <c r="E138" s="91"/>
      <c r="F138" s="91"/>
      <c r="G138" s="91"/>
      <c r="H138" s="91"/>
      <c r="I138" s="91"/>
      <c r="J138" s="91"/>
      <c r="K138" s="91"/>
      <c r="L138" s="91"/>
      <c r="M138" s="91"/>
      <c r="N138" s="91"/>
      <c r="O138" s="91"/>
      <c r="P138" s="91"/>
      <c r="Q138" s="139"/>
      <c r="R138" s="140"/>
      <c r="S138" s="140"/>
      <c r="T138" s="339" t="s">
        <v>169</v>
      </c>
      <c r="U138" s="340"/>
      <c r="V138" s="141"/>
      <c r="W138" s="142"/>
      <c r="X138" s="2"/>
      <c r="Y138" s="3"/>
    </row>
    <row r="139" spans="2:25">
      <c r="B139" s="8"/>
      <c r="C139" s="105" t="s">
        <v>174</v>
      </c>
      <c r="D139" s="37"/>
      <c r="E139" s="37"/>
      <c r="F139" s="37"/>
      <c r="G139" s="37"/>
      <c r="H139" s="37"/>
      <c r="I139" s="37"/>
      <c r="J139" s="37"/>
      <c r="K139" s="37"/>
      <c r="L139" s="37"/>
      <c r="M139" s="37"/>
      <c r="N139" s="37"/>
      <c r="O139" s="37"/>
      <c r="P139" s="37"/>
      <c r="Q139" s="140"/>
      <c r="R139" s="140"/>
      <c r="S139" s="140"/>
      <c r="T139" s="332" t="s">
        <v>169</v>
      </c>
      <c r="U139" s="333"/>
      <c r="V139" s="141"/>
      <c r="W139" s="142"/>
      <c r="X139" s="2"/>
      <c r="Y139" s="3"/>
    </row>
    <row r="140" spans="2:25">
      <c r="B140" s="8"/>
      <c r="C140" s="105" t="s">
        <v>183</v>
      </c>
      <c r="D140" s="37"/>
      <c r="E140" s="37"/>
      <c r="F140" s="37"/>
      <c r="G140" s="37"/>
      <c r="H140" s="37"/>
      <c r="I140" s="37"/>
      <c r="J140" s="37"/>
      <c r="K140" s="37"/>
      <c r="L140" s="37"/>
      <c r="M140" s="37"/>
      <c r="N140" s="37"/>
      <c r="O140" s="37"/>
      <c r="P140" s="37"/>
      <c r="Q140" s="140"/>
      <c r="R140" s="140"/>
      <c r="S140" s="140"/>
      <c r="T140" s="332" t="s">
        <v>169</v>
      </c>
      <c r="U140" s="333"/>
      <c r="V140" s="141"/>
      <c r="W140" s="142"/>
      <c r="X140" s="2"/>
      <c r="Y140" s="3"/>
    </row>
    <row r="141" spans="2:25">
      <c r="B141" s="8"/>
      <c r="C141" s="105" t="s">
        <v>176</v>
      </c>
      <c r="D141" s="37"/>
      <c r="E141" s="37"/>
      <c r="F141" s="37"/>
      <c r="G141" s="37"/>
      <c r="H141" s="37"/>
      <c r="I141" s="37"/>
      <c r="J141" s="37"/>
      <c r="K141" s="37"/>
      <c r="L141" s="37"/>
      <c r="M141" s="37"/>
      <c r="N141" s="37"/>
      <c r="O141" s="37"/>
      <c r="P141" s="37"/>
      <c r="Q141" s="140"/>
      <c r="R141" s="140"/>
      <c r="S141" s="140"/>
      <c r="T141" s="332" t="s">
        <v>165</v>
      </c>
      <c r="U141" s="333"/>
      <c r="V141" s="141"/>
      <c r="W141" s="142"/>
      <c r="X141" s="2"/>
      <c r="Y141" s="3"/>
    </row>
    <row r="142" spans="2:25">
      <c r="B142" s="8"/>
      <c r="C142" s="105" t="s">
        <v>177</v>
      </c>
      <c r="D142" s="37"/>
      <c r="E142" s="37"/>
      <c r="F142" s="37"/>
      <c r="G142" s="37"/>
      <c r="H142" s="37"/>
      <c r="I142" s="37"/>
      <c r="J142" s="37"/>
      <c r="K142" s="37"/>
      <c r="L142" s="37"/>
      <c r="M142" s="37"/>
      <c r="N142" s="37"/>
      <c r="O142" s="37"/>
      <c r="P142" s="37"/>
      <c r="Q142" s="140"/>
      <c r="R142" s="140"/>
      <c r="S142" s="140"/>
      <c r="T142" s="332" t="s">
        <v>165</v>
      </c>
      <c r="U142" s="333"/>
      <c r="V142" s="141"/>
      <c r="W142" s="142"/>
      <c r="X142" s="2"/>
      <c r="Y142" s="3"/>
    </row>
    <row r="143" spans="2:25">
      <c r="B143" s="8"/>
      <c r="C143" s="105" t="s">
        <v>178</v>
      </c>
      <c r="D143" s="37"/>
      <c r="E143" s="37"/>
      <c r="F143" s="37"/>
      <c r="G143" s="37"/>
      <c r="H143" s="37"/>
      <c r="I143" s="37"/>
      <c r="J143" s="37"/>
      <c r="K143" s="37"/>
      <c r="L143" s="37"/>
      <c r="M143" s="37"/>
      <c r="N143" s="37"/>
      <c r="O143" s="37"/>
      <c r="P143" s="37"/>
      <c r="Q143" s="140"/>
      <c r="R143" s="140"/>
      <c r="S143" s="140"/>
      <c r="T143" s="332" t="s">
        <v>165</v>
      </c>
      <c r="U143" s="333"/>
      <c r="V143" s="141"/>
      <c r="W143" s="142"/>
      <c r="X143" s="2"/>
      <c r="Y143" s="3"/>
    </row>
    <row r="144" spans="2:25">
      <c r="B144" s="8"/>
      <c r="C144" s="105" t="s">
        <v>184</v>
      </c>
      <c r="D144" s="37"/>
      <c r="E144" s="37"/>
      <c r="F144" s="37"/>
      <c r="G144" s="37"/>
      <c r="H144" s="37"/>
      <c r="I144" s="37"/>
      <c r="J144" s="37"/>
      <c r="K144" s="37"/>
      <c r="L144" s="37"/>
      <c r="M144" s="37"/>
      <c r="N144" s="37"/>
      <c r="O144" s="37"/>
      <c r="P144" s="37"/>
      <c r="Q144" s="140"/>
      <c r="R144" s="140"/>
      <c r="S144" s="140"/>
      <c r="T144" s="332" t="s">
        <v>169</v>
      </c>
      <c r="U144" s="333"/>
      <c r="V144" s="141"/>
      <c r="W144" s="142"/>
      <c r="X144" s="2"/>
      <c r="Y144" s="3"/>
    </row>
    <row r="145" spans="2:26">
      <c r="B145" s="8"/>
      <c r="C145" s="105" t="s">
        <v>180</v>
      </c>
      <c r="D145" s="37"/>
      <c r="E145" s="37"/>
      <c r="F145" s="37"/>
      <c r="G145" s="37"/>
      <c r="H145" s="37"/>
      <c r="I145" s="37"/>
      <c r="J145" s="37"/>
      <c r="K145" s="37"/>
      <c r="L145" s="37"/>
      <c r="M145" s="37"/>
      <c r="N145" s="37"/>
      <c r="O145" s="37"/>
      <c r="P145" s="37"/>
      <c r="Q145" s="140"/>
      <c r="R145" s="140"/>
      <c r="S145" s="140"/>
      <c r="T145" s="332" t="s">
        <v>165</v>
      </c>
      <c r="U145" s="333"/>
      <c r="V145" s="141"/>
      <c r="W145" s="142"/>
      <c r="X145" s="2"/>
      <c r="Y145" s="3"/>
    </row>
    <row r="146" spans="2:26">
      <c r="B146" s="8"/>
      <c r="C146" s="128" t="s">
        <v>185</v>
      </c>
      <c r="D146" s="103"/>
      <c r="E146" s="103"/>
      <c r="F146" s="103"/>
      <c r="G146" s="103"/>
      <c r="H146" s="103"/>
      <c r="I146" s="103"/>
      <c r="J146" s="103"/>
      <c r="K146" s="103"/>
      <c r="L146" s="103"/>
      <c r="M146" s="103"/>
      <c r="N146" s="103"/>
      <c r="O146" s="103"/>
      <c r="P146" s="103"/>
      <c r="Q146" s="143"/>
      <c r="R146" s="143"/>
      <c r="S146" s="143"/>
      <c r="T146" s="336" t="s">
        <v>169</v>
      </c>
      <c r="U146" s="337"/>
      <c r="V146" s="337"/>
      <c r="W146" s="338"/>
      <c r="X146" s="2"/>
      <c r="Y146" s="3"/>
    </row>
    <row r="147" spans="2:26" ht="15" thickBot="1">
      <c r="B147" s="8"/>
      <c r="C147" s="132" t="s">
        <v>186</v>
      </c>
      <c r="D147" s="117"/>
      <c r="E147" s="117"/>
      <c r="F147" s="117"/>
      <c r="G147" s="117"/>
      <c r="H147" s="117"/>
      <c r="I147" s="117"/>
      <c r="J147" s="117"/>
      <c r="K147" s="117"/>
      <c r="L147" s="117"/>
      <c r="M147" s="117"/>
      <c r="N147" s="117"/>
      <c r="O147" s="117"/>
      <c r="P147" s="117"/>
      <c r="Q147" s="144"/>
      <c r="R147" s="144"/>
      <c r="S147" s="144"/>
      <c r="T147" s="341" t="s">
        <v>169</v>
      </c>
      <c r="U147" s="342"/>
      <c r="V147" s="342"/>
      <c r="W147" s="343"/>
      <c r="X147" s="2"/>
      <c r="Y147" s="3"/>
    </row>
    <row r="148" spans="2:26" ht="15" thickBot="1">
      <c r="B148" s="8"/>
      <c r="C148" s="120"/>
      <c r="D148" s="3"/>
      <c r="E148" s="3"/>
      <c r="F148" s="3"/>
      <c r="G148" s="3"/>
      <c r="H148" s="3"/>
      <c r="I148" s="3"/>
      <c r="J148" s="3"/>
      <c r="K148" s="3"/>
      <c r="L148" s="3"/>
      <c r="M148" s="3"/>
      <c r="N148" s="3"/>
      <c r="O148" s="3"/>
      <c r="P148" s="3"/>
      <c r="Q148" s="3"/>
      <c r="R148" s="3"/>
      <c r="S148" s="3"/>
      <c r="T148" s="3"/>
      <c r="U148" s="3"/>
      <c r="V148" s="3"/>
      <c r="W148" s="2"/>
      <c r="X148" s="2"/>
      <c r="Y148" s="3"/>
    </row>
    <row r="149" spans="2:26" ht="15" thickBot="1">
      <c r="B149" s="8"/>
      <c r="C149" s="267" t="s">
        <v>187</v>
      </c>
      <c r="D149" s="268"/>
      <c r="E149" s="268"/>
      <c r="F149" s="268"/>
      <c r="G149" s="268"/>
      <c r="H149" s="268"/>
      <c r="I149" s="268"/>
      <c r="J149" s="268"/>
      <c r="K149" s="268"/>
      <c r="L149" s="268"/>
      <c r="M149" s="268"/>
      <c r="N149" s="268"/>
      <c r="O149" s="268"/>
      <c r="P149" s="268"/>
      <c r="Q149" s="268"/>
      <c r="R149" s="268"/>
      <c r="S149" s="268"/>
      <c r="T149" s="268"/>
      <c r="U149" s="268"/>
      <c r="V149" s="268"/>
      <c r="W149" s="269"/>
      <c r="X149" s="2"/>
      <c r="Y149" s="3"/>
    </row>
    <row r="150" spans="2:26" ht="45.75" customHeight="1">
      <c r="B150" s="8"/>
      <c r="C150" s="352" t="s">
        <v>188</v>
      </c>
      <c r="D150" s="353"/>
      <c r="E150" s="353"/>
      <c r="F150" s="353"/>
      <c r="G150" s="353"/>
      <c r="H150" s="353"/>
      <c r="I150" s="353"/>
      <c r="J150" s="353"/>
      <c r="K150" s="354"/>
      <c r="L150" s="355" t="s">
        <v>189</v>
      </c>
      <c r="M150" s="356"/>
      <c r="N150" s="356"/>
      <c r="O150" s="357"/>
      <c r="P150" s="358" t="s">
        <v>190</v>
      </c>
      <c r="Q150" s="359"/>
      <c r="R150" s="359"/>
      <c r="S150" s="360"/>
      <c r="T150" s="361" t="s">
        <v>191</v>
      </c>
      <c r="U150" s="362"/>
      <c r="V150" s="362"/>
      <c r="W150" s="363"/>
      <c r="X150" s="2"/>
      <c r="Y150" s="3"/>
    </row>
    <row r="151" spans="2:26">
      <c r="B151" s="8"/>
      <c r="C151" s="130" t="s">
        <v>188</v>
      </c>
      <c r="D151" s="33"/>
      <c r="E151" s="33"/>
      <c r="F151" s="33"/>
      <c r="G151" s="33"/>
      <c r="H151" s="33"/>
      <c r="I151" s="33"/>
      <c r="J151" s="33"/>
      <c r="K151" s="33"/>
      <c r="L151" s="364">
        <v>1643925.41</v>
      </c>
      <c r="M151" s="365"/>
      <c r="N151" s="365"/>
      <c r="O151" s="366"/>
      <c r="P151" s="367">
        <f>T99</f>
        <v>110094252.9742616</v>
      </c>
      <c r="Q151" s="368"/>
      <c r="R151" s="368"/>
      <c r="S151" s="369"/>
      <c r="T151" s="370">
        <f>L151</f>
        <v>1643925.41</v>
      </c>
      <c r="U151" s="370"/>
      <c r="V151" s="370"/>
      <c r="W151" s="371"/>
      <c r="X151" s="2"/>
      <c r="Y151" s="3"/>
    </row>
    <row r="152" spans="2:26">
      <c r="B152" s="8"/>
      <c r="C152" s="110" t="s">
        <v>192</v>
      </c>
      <c r="D152" s="91"/>
      <c r="E152" s="91"/>
      <c r="F152" s="91"/>
      <c r="G152" s="91"/>
      <c r="H152" s="91"/>
      <c r="I152" s="91"/>
      <c r="J152" s="91"/>
      <c r="K152" s="91"/>
      <c r="L152" s="344">
        <f>SUM(L153:M154)</f>
        <v>95297.909999999756</v>
      </c>
      <c r="M152" s="345"/>
      <c r="N152" s="345"/>
      <c r="O152" s="346"/>
      <c r="P152" s="347">
        <f>P151-T151</f>
        <v>108450327.5642616</v>
      </c>
      <c r="Q152" s="348"/>
      <c r="R152" s="348"/>
      <c r="S152" s="348"/>
      <c r="T152" s="347">
        <f>SUM(T153:T154)</f>
        <v>95297.909999999756</v>
      </c>
      <c r="U152" s="348"/>
      <c r="V152" s="348"/>
      <c r="W152" s="349"/>
      <c r="X152" s="2"/>
      <c r="Y152" s="3"/>
    </row>
    <row r="153" spans="2:26">
      <c r="B153" s="8"/>
      <c r="C153" s="73" t="s">
        <v>193</v>
      </c>
      <c r="D153" s="37"/>
      <c r="E153" s="37"/>
      <c r="F153" s="37"/>
      <c r="G153" s="37"/>
      <c r="H153" s="37"/>
      <c r="I153" s="37"/>
      <c r="J153" s="37"/>
      <c r="K153" s="37"/>
      <c r="L153" s="350">
        <v>84301.179999999731</v>
      </c>
      <c r="M153" s="351"/>
      <c r="N153" s="95"/>
      <c r="O153" s="92"/>
      <c r="P153" s="282">
        <f>P152*L153/$L$152</f>
        <v>95935898.122569248</v>
      </c>
      <c r="Q153" s="283"/>
      <c r="R153" s="92"/>
      <c r="S153" s="93"/>
      <c r="T153" s="282">
        <f>L153</f>
        <v>84301.179999999731</v>
      </c>
      <c r="U153" s="283"/>
      <c r="V153" s="92"/>
      <c r="W153" s="2"/>
      <c r="X153" s="2"/>
      <c r="Y153" s="3"/>
    </row>
    <row r="154" spans="2:26">
      <c r="B154" s="8"/>
      <c r="C154" s="73" t="s">
        <v>194</v>
      </c>
      <c r="D154" s="37"/>
      <c r="E154" s="37"/>
      <c r="F154" s="37"/>
      <c r="G154" s="37"/>
      <c r="H154" s="37"/>
      <c r="I154" s="37"/>
      <c r="J154" s="37"/>
      <c r="K154" s="37"/>
      <c r="L154" s="372">
        <v>10996.73000000002</v>
      </c>
      <c r="M154" s="373"/>
      <c r="N154" s="95"/>
      <c r="O154" s="100"/>
      <c r="P154" s="284">
        <f>P152*L154/$L$152</f>
        <v>12514429.441692349</v>
      </c>
      <c r="Q154" s="285"/>
      <c r="R154" s="100"/>
      <c r="S154" s="108"/>
      <c r="T154" s="282">
        <f>L154</f>
        <v>10996.73000000002</v>
      </c>
      <c r="U154" s="283"/>
      <c r="V154" s="92"/>
      <c r="W154" s="2"/>
      <c r="X154" s="2"/>
      <c r="Y154" s="3"/>
    </row>
    <row r="155" spans="2:26">
      <c r="B155" s="8"/>
      <c r="C155" s="110" t="s">
        <v>195</v>
      </c>
      <c r="D155" s="91"/>
      <c r="E155" s="91"/>
      <c r="F155" s="91"/>
      <c r="G155" s="91"/>
      <c r="H155" s="91"/>
      <c r="I155" s="91"/>
      <c r="J155" s="91"/>
      <c r="K155" s="91"/>
      <c r="L155" s="344">
        <f>SUM(L156:M157)</f>
        <v>6160691.2899999982</v>
      </c>
      <c r="M155" s="345"/>
      <c r="N155" s="345"/>
      <c r="O155" s="346"/>
      <c r="P155" s="347">
        <f>P152-T152</f>
        <v>108355029.6542616</v>
      </c>
      <c r="Q155" s="348"/>
      <c r="R155" s="348"/>
      <c r="S155" s="348"/>
      <c r="T155" s="347">
        <f>SUM(T156:T157)</f>
        <v>6160691.2899999982</v>
      </c>
      <c r="U155" s="348"/>
      <c r="V155" s="348"/>
      <c r="W155" s="349"/>
      <c r="X155" s="2"/>
      <c r="Y155" s="3"/>
      <c r="Z155" s="26"/>
    </row>
    <row r="156" spans="2:26">
      <c r="B156" s="8"/>
      <c r="C156" s="73" t="s">
        <v>196</v>
      </c>
      <c r="D156" s="37"/>
      <c r="E156" s="37"/>
      <c r="F156" s="37"/>
      <c r="G156" s="37"/>
      <c r="H156" s="37"/>
      <c r="I156" s="37"/>
      <c r="J156" s="37"/>
      <c r="K156" s="37"/>
      <c r="L156" s="350">
        <v>256.89</v>
      </c>
      <c r="M156" s="351"/>
      <c r="N156" s="95"/>
      <c r="O156" s="92"/>
      <c r="P156" s="282">
        <f>$P$155*L156/$L$155</f>
        <v>4518.2143135568913</v>
      </c>
      <c r="Q156" s="283"/>
      <c r="R156" s="92"/>
      <c r="S156" s="93"/>
      <c r="T156" s="282">
        <f>L156</f>
        <v>256.89</v>
      </c>
      <c r="U156" s="283"/>
      <c r="V156" s="92"/>
      <c r="W156" s="2"/>
      <c r="X156" s="2"/>
      <c r="Y156" s="3"/>
      <c r="Z156" s="26"/>
    </row>
    <row r="157" spans="2:26">
      <c r="B157" s="8"/>
      <c r="C157" s="73" t="s">
        <v>197</v>
      </c>
      <c r="D157" s="37"/>
      <c r="E157" s="37"/>
      <c r="F157" s="37"/>
      <c r="G157" s="37"/>
      <c r="H157" s="37"/>
      <c r="I157" s="37"/>
      <c r="J157" s="37"/>
      <c r="K157" s="37"/>
      <c r="L157" s="372">
        <v>6160434.3999999985</v>
      </c>
      <c r="M157" s="373"/>
      <c r="N157" s="95"/>
      <c r="O157" s="92"/>
      <c r="P157" s="284">
        <f>IFERROR($P$155*L157/$L$155,0)</f>
        <v>108350511.43994805</v>
      </c>
      <c r="Q157" s="285"/>
      <c r="R157" s="100"/>
      <c r="S157" s="108"/>
      <c r="T157" s="282">
        <f>L157</f>
        <v>6160434.3999999985</v>
      </c>
      <c r="U157" s="283"/>
      <c r="V157" s="92"/>
      <c r="W157" s="2"/>
      <c r="X157" s="2"/>
      <c r="Y157" s="3"/>
    </row>
    <row r="158" spans="2:26">
      <c r="B158" s="8"/>
      <c r="C158" s="110" t="s">
        <v>198</v>
      </c>
      <c r="D158" s="91"/>
      <c r="E158" s="91"/>
      <c r="F158" s="91"/>
      <c r="G158" s="91"/>
      <c r="H158" s="91"/>
      <c r="I158" s="91"/>
      <c r="J158" s="91"/>
      <c r="K158" s="91"/>
      <c r="L158" s="344">
        <f>SUM(L159:M161)</f>
        <v>3718768.31</v>
      </c>
      <c r="M158" s="345"/>
      <c r="N158" s="345"/>
      <c r="O158" s="346"/>
      <c r="P158" s="347">
        <f>P155-T155</f>
        <v>102194338.36426161</v>
      </c>
      <c r="Q158" s="348"/>
      <c r="R158" s="348"/>
      <c r="S158" s="348"/>
      <c r="T158" s="347">
        <f>SUM(T159:T161)</f>
        <v>3718768.31</v>
      </c>
      <c r="U158" s="348"/>
      <c r="V158" s="348"/>
      <c r="W158" s="349"/>
      <c r="X158" s="2"/>
      <c r="Y158" s="3"/>
    </row>
    <row r="159" spans="2:26">
      <c r="B159" s="8"/>
      <c r="C159" s="73" t="s">
        <v>199</v>
      </c>
      <c r="D159" s="37"/>
      <c r="E159" s="37"/>
      <c r="F159" s="37"/>
      <c r="G159" s="37"/>
      <c r="H159" s="37"/>
      <c r="I159" s="37"/>
      <c r="J159" s="37"/>
      <c r="K159" s="37"/>
      <c r="L159" s="376">
        <v>3050984.3199999994</v>
      </c>
      <c r="M159" s="377"/>
      <c r="N159" s="95"/>
      <c r="O159" s="148"/>
      <c r="P159" s="282">
        <f>$P$158*L159/$L$158</f>
        <v>83843170.09040463</v>
      </c>
      <c r="Q159" s="283"/>
      <c r="R159" s="92"/>
      <c r="S159" s="93"/>
      <c r="T159" s="282">
        <f>L159</f>
        <v>3050984.3199999994</v>
      </c>
      <c r="U159" s="283"/>
      <c r="V159" s="92"/>
      <c r="W159" s="2"/>
      <c r="X159" s="2"/>
      <c r="Y159" s="3"/>
    </row>
    <row r="160" spans="2:26">
      <c r="B160" s="8"/>
      <c r="C160" s="73" t="s">
        <v>200</v>
      </c>
      <c r="D160" s="37"/>
      <c r="E160" s="37"/>
      <c r="F160" s="37"/>
      <c r="G160" s="37"/>
      <c r="H160" s="37"/>
      <c r="I160" s="37"/>
      <c r="J160" s="37"/>
      <c r="K160" s="37"/>
      <c r="L160" s="350">
        <v>129375</v>
      </c>
      <c r="M160" s="351"/>
      <c r="N160" s="95"/>
      <c r="O160" s="148"/>
      <c r="P160" s="282">
        <f>$P$158*L160/$L$158</f>
        <v>3555314.9386379346</v>
      </c>
      <c r="Q160" s="283"/>
      <c r="R160" s="92"/>
      <c r="S160" s="93"/>
      <c r="T160" s="282">
        <f>L160</f>
        <v>129375</v>
      </c>
      <c r="U160" s="283"/>
      <c r="V160" s="92"/>
      <c r="W160" s="2"/>
      <c r="X160" s="2"/>
      <c r="Y160" s="3"/>
    </row>
    <row r="161" spans="2:25">
      <c r="B161" s="8"/>
      <c r="C161" s="73" t="s">
        <v>201</v>
      </c>
      <c r="D161" s="37"/>
      <c r="E161" s="37"/>
      <c r="F161" s="37"/>
      <c r="G161" s="37"/>
      <c r="H161" s="37"/>
      <c r="I161" s="37"/>
      <c r="J161" s="37"/>
      <c r="K161" s="37"/>
      <c r="L161" s="374">
        <v>538408.99000000069</v>
      </c>
      <c r="M161" s="375"/>
      <c r="N161" s="147"/>
      <c r="O161" s="149"/>
      <c r="P161" s="284">
        <f>$P$158*L161/$L$158</f>
        <v>14795853.335219052</v>
      </c>
      <c r="Q161" s="285"/>
      <c r="R161" s="100"/>
      <c r="S161" s="108"/>
      <c r="T161" s="284">
        <f>L161</f>
        <v>538408.99000000069</v>
      </c>
      <c r="U161" s="285"/>
      <c r="V161" s="146"/>
      <c r="W161" s="150"/>
      <c r="X161" s="2"/>
      <c r="Y161" s="3"/>
    </row>
    <row r="162" spans="2:25">
      <c r="B162" s="8"/>
      <c r="C162" s="130" t="s">
        <v>202</v>
      </c>
      <c r="D162" s="33"/>
      <c r="E162" s="33"/>
      <c r="F162" s="33"/>
      <c r="G162" s="33"/>
      <c r="H162" s="33"/>
      <c r="I162" s="33"/>
      <c r="J162" s="33"/>
      <c r="K162" s="33"/>
      <c r="L162" s="378">
        <v>57074.805044018663</v>
      </c>
      <c r="M162" s="379"/>
      <c r="N162" s="379"/>
      <c r="O162" s="380"/>
      <c r="P162" s="367">
        <f>P158-T158</f>
        <v>98475570.05426161</v>
      </c>
      <c r="Q162" s="368"/>
      <c r="R162" s="368"/>
      <c r="S162" s="369"/>
      <c r="T162" s="347">
        <f>L162</f>
        <v>57074.805044018663</v>
      </c>
      <c r="U162" s="348"/>
      <c r="V162" s="348"/>
      <c r="W162" s="349"/>
      <c r="X162" s="2"/>
      <c r="Y162" s="3"/>
    </row>
    <row r="163" spans="2:25">
      <c r="B163" s="8"/>
      <c r="C163" s="110" t="s">
        <v>203</v>
      </c>
      <c r="D163" s="91"/>
      <c r="E163" s="91"/>
      <c r="F163" s="91"/>
      <c r="G163" s="91"/>
      <c r="H163" s="91"/>
      <c r="I163" s="91"/>
      <c r="J163" s="91"/>
      <c r="K163" s="91"/>
      <c r="L163" s="378">
        <v>0</v>
      </c>
      <c r="M163" s="379"/>
      <c r="N163" s="379"/>
      <c r="O163" s="380"/>
      <c r="P163" s="367">
        <f>P162-T162</f>
        <v>98418495.249217585</v>
      </c>
      <c r="Q163" s="368"/>
      <c r="R163" s="368"/>
      <c r="S163" s="369"/>
      <c r="T163" s="347">
        <f>L163</f>
        <v>0</v>
      </c>
      <c r="U163" s="348"/>
      <c r="V163" s="348"/>
      <c r="W163" s="349"/>
      <c r="X163" s="2"/>
      <c r="Y163" s="3"/>
    </row>
    <row r="164" spans="2:25">
      <c r="B164" s="8"/>
      <c r="C164" s="110" t="s">
        <v>204</v>
      </c>
      <c r="D164" s="91"/>
      <c r="E164" s="91"/>
      <c r="F164" s="91"/>
      <c r="G164" s="91"/>
      <c r="H164" s="91"/>
      <c r="I164" s="91"/>
      <c r="J164" s="91"/>
      <c r="K164" s="91"/>
      <c r="L164" s="344">
        <f>SUM(L165:M165)</f>
        <v>9303287.6712328773</v>
      </c>
      <c r="M164" s="345"/>
      <c r="N164" s="345"/>
      <c r="O164" s="346"/>
      <c r="P164" s="347">
        <f>P163-T163</f>
        <v>98418495.249217585</v>
      </c>
      <c r="Q164" s="348"/>
      <c r="R164" s="348"/>
      <c r="S164" s="348"/>
      <c r="T164" s="347">
        <f>SUM(T165:T165)</f>
        <v>9303287.6712328773</v>
      </c>
      <c r="U164" s="348"/>
      <c r="V164" s="348"/>
      <c r="W164" s="349"/>
      <c r="X164" s="2"/>
      <c r="Y164" s="3"/>
    </row>
    <row r="165" spans="2:25">
      <c r="B165" s="8"/>
      <c r="C165" s="73" t="s">
        <v>205</v>
      </c>
      <c r="D165" s="37"/>
      <c r="E165" s="37"/>
      <c r="F165" s="37"/>
      <c r="G165" s="37"/>
      <c r="H165" s="37"/>
      <c r="I165" s="37"/>
      <c r="J165" s="37"/>
      <c r="K165" s="37"/>
      <c r="L165" s="372">
        <f>G40</f>
        <v>9303287.6712328773</v>
      </c>
      <c r="M165" s="373"/>
      <c r="N165" s="95"/>
      <c r="O165" s="148"/>
      <c r="P165" s="284">
        <f>$P$164*L165/$L$164</f>
        <v>98418495.249217585</v>
      </c>
      <c r="Q165" s="285"/>
      <c r="R165" s="92"/>
      <c r="S165" s="93"/>
      <c r="T165" s="284">
        <f t="shared" ref="T165:T171" si="16">L165</f>
        <v>9303287.6712328773</v>
      </c>
      <c r="U165" s="285"/>
      <c r="V165" s="92"/>
      <c r="W165" s="2"/>
      <c r="X165" s="2"/>
      <c r="Y165" s="3"/>
    </row>
    <row r="166" spans="2:25">
      <c r="B166" s="8"/>
      <c r="C166" s="130" t="s">
        <v>206</v>
      </c>
      <c r="D166" s="33"/>
      <c r="E166" s="33"/>
      <c r="F166" s="33"/>
      <c r="G166" s="33"/>
      <c r="H166" s="33"/>
      <c r="I166" s="33"/>
      <c r="J166" s="33"/>
      <c r="K166" s="33"/>
      <c r="L166" s="378">
        <f>H40</f>
        <v>2456309.0410958906</v>
      </c>
      <c r="M166" s="379"/>
      <c r="N166" s="379"/>
      <c r="O166" s="380"/>
      <c r="P166" s="367">
        <f>P164-T164</f>
        <v>89115207.577984706</v>
      </c>
      <c r="Q166" s="368"/>
      <c r="R166" s="368"/>
      <c r="S166" s="369"/>
      <c r="T166" s="367">
        <f t="shared" si="16"/>
        <v>2456309.0410958906</v>
      </c>
      <c r="U166" s="368"/>
      <c r="V166" s="368"/>
      <c r="W166" s="381"/>
      <c r="X166" s="2"/>
      <c r="Y166" s="3"/>
    </row>
    <row r="167" spans="2:25">
      <c r="B167" s="8"/>
      <c r="C167" s="130" t="s">
        <v>207</v>
      </c>
      <c r="D167" s="33"/>
      <c r="E167" s="33"/>
      <c r="F167" s="33"/>
      <c r="G167" s="33"/>
      <c r="H167" s="33"/>
      <c r="I167" s="33"/>
      <c r="J167" s="33"/>
      <c r="K167" s="33"/>
      <c r="L167" s="378">
        <f>I40</f>
        <v>807068.4931506851</v>
      </c>
      <c r="M167" s="379"/>
      <c r="N167" s="379"/>
      <c r="O167" s="380"/>
      <c r="P167" s="367">
        <f t="shared" ref="P167:P173" si="17">P166-T166</f>
        <v>86658898.536888808</v>
      </c>
      <c r="Q167" s="368"/>
      <c r="R167" s="368"/>
      <c r="S167" s="369"/>
      <c r="T167" s="367">
        <f t="shared" si="16"/>
        <v>807068.4931506851</v>
      </c>
      <c r="U167" s="368"/>
      <c r="V167" s="368"/>
      <c r="W167" s="381"/>
      <c r="X167" s="2"/>
      <c r="Y167" s="3"/>
    </row>
    <row r="168" spans="2:25">
      <c r="B168" s="8"/>
      <c r="C168" s="130" t="s">
        <v>208</v>
      </c>
      <c r="D168" s="33"/>
      <c r="E168" s="33"/>
      <c r="F168" s="33"/>
      <c r="G168" s="33"/>
      <c r="H168" s="33"/>
      <c r="I168" s="33"/>
      <c r="J168" s="33"/>
      <c r="K168" s="33"/>
      <c r="L168" s="378">
        <f>J40</f>
        <v>751857.53424657532</v>
      </c>
      <c r="M168" s="379"/>
      <c r="N168" s="379"/>
      <c r="O168" s="380"/>
      <c r="P168" s="367">
        <f t="shared" si="17"/>
        <v>85851830.043738127</v>
      </c>
      <c r="Q168" s="368"/>
      <c r="R168" s="368"/>
      <c r="S168" s="369"/>
      <c r="T168" s="367">
        <f>L168</f>
        <v>751857.53424657532</v>
      </c>
      <c r="U168" s="368"/>
      <c r="V168" s="368"/>
      <c r="W168" s="381"/>
      <c r="X168" s="2"/>
      <c r="Y168" s="3"/>
    </row>
    <row r="169" spans="2:25">
      <c r="B169" s="8"/>
      <c r="C169" s="151" t="s">
        <v>209</v>
      </c>
      <c r="D169" s="33"/>
      <c r="E169" s="33"/>
      <c r="F169" s="33"/>
      <c r="G169" s="33"/>
      <c r="H169" s="33"/>
      <c r="I169" s="33"/>
      <c r="J169" s="33"/>
      <c r="K169" s="33"/>
      <c r="L169" s="378">
        <v>0</v>
      </c>
      <c r="M169" s="379"/>
      <c r="N169" s="379"/>
      <c r="O169" s="380"/>
      <c r="P169" s="367">
        <f t="shared" si="17"/>
        <v>85099972.509491548</v>
      </c>
      <c r="Q169" s="368"/>
      <c r="R169" s="368"/>
      <c r="S169" s="369"/>
      <c r="T169" s="367">
        <f>L169</f>
        <v>0</v>
      </c>
      <c r="U169" s="368"/>
      <c r="V169" s="368"/>
      <c r="W169" s="381"/>
      <c r="X169" s="2"/>
      <c r="Y169" s="3"/>
    </row>
    <row r="170" spans="2:25">
      <c r="B170" s="8"/>
      <c r="C170" s="130" t="s">
        <v>210</v>
      </c>
      <c r="D170" s="33"/>
      <c r="E170" s="33"/>
      <c r="F170" s="33"/>
      <c r="G170" s="33"/>
      <c r="H170" s="33"/>
      <c r="I170" s="33"/>
      <c r="J170" s="33"/>
      <c r="K170" s="33"/>
      <c r="L170" s="378">
        <v>0</v>
      </c>
      <c r="M170" s="379"/>
      <c r="N170" s="379"/>
      <c r="O170" s="380"/>
      <c r="P170" s="367">
        <f t="shared" si="17"/>
        <v>85099972.509491548</v>
      </c>
      <c r="Q170" s="368"/>
      <c r="R170" s="368"/>
      <c r="S170" s="369"/>
      <c r="T170" s="367">
        <f t="shared" si="16"/>
        <v>0</v>
      </c>
      <c r="U170" s="368"/>
      <c r="V170" s="368"/>
      <c r="W170" s="381"/>
      <c r="X170" s="2"/>
      <c r="Y170" s="3"/>
    </row>
    <row r="171" spans="2:25">
      <c r="B171" s="8"/>
      <c r="C171" s="130" t="s">
        <v>211</v>
      </c>
      <c r="D171" s="33"/>
      <c r="E171" s="33"/>
      <c r="F171" s="33"/>
      <c r="G171" s="33"/>
      <c r="H171" s="33"/>
      <c r="I171" s="33"/>
      <c r="J171" s="33"/>
      <c r="K171" s="33"/>
      <c r="L171" s="378">
        <v>0</v>
      </c>
      <c r="M171" s="379"/>
      <c r="N171" s="379"/>
      <c r="O171" s="380"/>
      <c r="P171" s="367">
        <f t="shared" si="17"/>
        <v>85099972.509491548</v>
      </c>
      <c r="Q171" s="368"/>
      <c r="R171" s="368"/>
      <c r="S171" s="369"/>
      <c r="T171" s="367">
        <f t="shared" si="16"/>
        <v>0</v>
      </c>
      <c r="U171" s="368"/>
      <c r="V171" s="368"/>
      <c r="W171" s="381"/>
      <c r="X171" s="2"/>
      <c r="Y171" s="3"/>
    </row>
    <row r="172" spans="2:25">
      <c r="B172" s="8"/>
      <c r="C172" s="110" t="s">
        <v>212</v>
      </c>
      <c r="D172" s="91"/>
      <c r="E172" s="91"/>
      <c r="F172" s="91"/>
      <c r="G172" s="91"/>
      <c r="H172" s="91"/>
      <c r="I172" s="91"/>
      <c r="J172" s="91"/>
      <c r="K172" s="91"/>
      <c r="L172" s="344">
        <f>Q218</f>
        <v>0</v>
      </c>
      <c r="M172" s="345"/>
      <c r="N172" s="345"/>
      <c r="O172" s="346"/>
      <c r="P172" s="347">
        <f t="shared" si="17"/>
        <v>85099972.509491548</v>
      </c>
      <c r="Q172" s="348"/>
      <c r="R172" s="348"/>
      <c r="S172" s="382"/>
      <c r="T172" s="347">
        <f>L172</f>
        <v>0</v>
      </c>
      <c r="U172" s="348"/>
      <c r="V172" s="348"/>
      <c r="W172" s="349"/>
      <c r="X172" s="2"/>
      <c r="Y172" s="3"/>
    </row>
    <row r="173" spans="2:25">
      <c r="B173" s="8"/>
      <c r="C173" s="152" t="s">
        <v>213</v>
      </c>
      <c r="D173" s="91"/>
      <c r="E173" s="91"/>
      <c r="F173" s="91"/>
      <c r="G173" s="91"/>
      <c r="H173" s="91"/>
      <c r="I173" s="91"/>
      <c r="J173" s="91"/>
      <c r="K173" s="101"/>
      <c r="L173" s="383">
        <f ca="1">SUM(L173:N178)</f>
        <v>51901275.46199999</v>
      </c>
      <c r="M173" s="384"/>
      <c r="N173" s="384"/>
      <c r="O173" s="385"/>
      <c r="P173" s="347">
        <f t="shared" si="17"/>
        <v>85099972.509491548</v>
      </c>
      <c r="Q173" s="348"/>
      <c r="R173" s="348"/>
      <c r="S173" s="382"/>
      <c r="T173" s="344">
        <f>SUM(T174:U178)</f>
        <v>51901275.504999988</v>
      </c>
      <c r="U173" s="345"/>
      <c r="V173" s="345"/>
      <c r="W173" s="346"/>
      <c r="X173" s="2"/>
      <c r="Y173" s="3"/>
    </row>
    <row r="174" spans="2:25">
      <c r="B174" s="8"/>
      <c r="C174" s="153" t="s">
        <v>214</v>
      </c>
      <c r="D174" s="37"/>
      <c r="E174" s="37"/>
      <c r="F174" s="37"/>
      <c r="G174" s="37"/>
      <c r="H174" s="37"/>
      <c r="I174" s="37"/>
      <c r="J174" s="37"/>
      <c r="K174" s="99"/>
      <c r="L174" s="282">
        <v>0</v>
      </c>
      <c r="M174" s="283"/>
      <c r="N174" s="283"/>
      <c r="O174" s="154"/>
      <c r="P174" s="282">
        <f ca="1">L174/$L$173*P173</f>
        <v>0</v>
      </c>
      <c r="Q174" s="283"/>
      <c r="R174" s="92"/>
      <c r="S174" s="155"/>
      <c r="T174" s="350">
        <f t="shared" ref="T174:T180" si="18">L174</f>
        <v>0</v>
      </c>
      <c r="U174" s="351"/>
      <c r="V174" s="92"/>
      <c r="W174" s="156"/>
      <c r="X174" s="2"/>
      <c r="Y174" s="3"/>
    </row>
    <row r="175" spans="2:25">
      <c r="B175" s="8"/>
      <c r="C175" s="157" t="s">
        <v>215</v>
      </c>
      <c r="D175" s="37"/>
      <c r="E175" s="37"/>
      <c r="F175" s="37"/>
      <c r="G175" s="37"/>
      <c r="H175" s="37"/>
      <c r="I175" s="37"/>
      <c r="J175" s="37"/>
      <c r="K175" s="99"/>
      <c r="L175" s="350">
        <f>T106-P43</f>
        <v>51901275.504999988</v>
      </c>
      <c r="M175" s="351"/>
      <c r="N175" s="95"/>
      <c r="O175" s="154"/>
      <c r="P175" s="282">
        <f ca="1">L175/L173*P173</f>
        <v>85099972.466491565</v>
      </c>
      <c r="Q175" s="283"/>
      <c r="R175" s="92"/>
      <c r="S175" s="155"/>
      <c r="T175" s="282">
        <f t="shared" si="18"/>
        <v>51901275.504999988</v>
      </c>
      <c r="U175" s="283"/>
      <c r="V175" s="92"/>
      <c r="W175" s="156"/>
      <c r="X175" s="2"/>
      <c r="Y175" s="3"/>
    </row>
    <row r="176" spans="2:25">
      <c r="B176" s="8"/>
      <c r="C176" s="153" t="s">
        <v>216</v>
      </c>
      <c r="D176" s="37"/>
      <c r="E176" s="37"/>
      <c r="F176" s="37"/>
      <c r="G176" s="37"/>
      <c r="H176" s="37"/>
      <c r="I176" s="37"/>
      <c r="J176" s="37"/>
      <c r="K176" s="99"/>
      <c r="L176" s="350">
        <v>0</v>
      </c>
      <c r="M176" s="351"/>
      <c r="N176" s="95"/>
      <c r="O176" s="154"/>
      <c r="P176" s="282">
        <f ca="1">L176/$L$173*P173</f>
        <v>0</v>
      </c>
      <c r="Q176" s="283"/>
      <c r="R176" s="92"/>
      <c r="S176" s="155"/>
      <c r="T176" s="282">
        <f t="shared" si="18"/>
        <v>0</v>
      </c>
      <c r="U176" s="283"/>
      <c r="V176" s="92"/>
      <c r="W176" s="156"/>
      <c r="X176" s="2"/>
      <c r="Y176" s="3"/>
    </row>
    <row r="177" spans="2:26">
      <c r="B177" s="8"/>
      <c r="C177" s="153" t="s">
        <v>217</v>
      </c>
      <c r="D177" s="37"/>
      <c r="E177" s="37"/>
      <c r="F177" s="37"/>
      <c r="G177" s="37"/>
      <c r="H177" s="37"/>
      <c r="I177" s="37"/>
      <c r="J177" s="37"/>
      <c r="K177" s="99"/>
      <c r="L177" s="350">
        <v>0</v>
      </c>
      <c r="M177" s="351"/>
      <c r="N177" s="95"/>
      <c r="O177" s="154"/>
      <c r="P177" s="282">
        <f ca="1">L177/$L$173*P172</f>
        <v>0</v>
      </c>
      <c r="Q177" s="283"/>
      <c r="R177" s="92"/>
      <c r="S177" s="155"/>
      <c r="T177" s="282">
        <f t="shared" si="18"/>
        <v>0</v>
      </c>
      <c r="U177" s="283"/>
      <c r="V177" s="92"/>
      <c r="W177" s="156"/>
      <c r="X177" s="2"/>
      <c r="Y177" s="3"/>
      <c r="Z177" s="26"/>
    </row>
    <row r="178" spans="2:26">
      <c r="B178" s="8"/>
      <c r="C178" s="158" t="s">
        <v>218</v>
      </c>
      <c r="D178" s="103"/>
      <c r="E178" s="103"/>
      <c r="F178" s="103"/>
      <c r="G178" s="103"/>
      <c r="H178" s="103"/>
      <c r="I178" s="103"/>
      <c r="J178" s="103"/>
      <c r="K178" s="159"/>
      <c r="L178" s="372">
        <v>0</v>
      </c>
      <c r="M178" s="373"/>
      <c r="N178" s="146"/>
      <c r="O178" s="149"/>
      <c r="P178" s="284">
        <f ca="1">L178/$L$173*P173</f>
        <v>0</v>
      </c>
      <c r="Q178" s="285"/>
      <c r="R178" s="100"/>
      <c r="S178" s="160"/>
      <c r="T178" s="284">
        <f t="shared" si="18"/>
        <v>0</v>
      </c>
      <c r="U178" s="285"/>
      <c r="V178" s="100"/>
      <c r="W178" s="161"/>
      <c r="X178" s="2"/>
      <c r="Y178" s="3"/>
    </row>
    <row r="179" spans="2:26">
      <c r="B179" s="8"/>
      <c r="C179" s="162" t="s">
        <v>219</v>
      </c>
      <c r="D179" s="33"/>
      <c r="E179" s="33"/>
      <c r="F179" s="33"/>
      <c r="G179" s="33"/>
      <c r="H179" s="33"/>
      <c r="I179" s="33"/>
      <c r="J179" s="33"/>
      <c r="K179" s="33"/>
      <c r="L179" s="378">
        <f>Q209</f>
        <v>26901000</v>
      </c>
      <c r="M179" s="379"/>
      <c r="N179" s="379"/>
      <c r="O179" s="379"/>
      <c r="P179" s="367">
        <f>P173-T173</f>
        <v>33198697.00449156</v>
      </c>
      <c r="Q179" s="368"/>
      <c r="R179" s="368"/>
      <c r="S179" s="369"/>
      <c r="T179" s="368">
        <f t="shared" si="18"/>
        <v>26901000</v>
      </c>
      <c r="U179" s="368"/>
      <c r="V179" s="368"/>
      <c r="W179" s="369"/>
      <c r="X179" s="2"/>
      <c r="Y179" s="3"/>
      <c r="Z179" s="26"/>
    </row>
    <row r="180" spans="2:26">
      <c r="B180" s="8"/>
      <c r="C180" s="128" t="s">
        <v>220</v>
      </c>
      <c r="D180" s="103"/>
      <c r="E180" s="103"/>
      <c r="F180" s="103"/>
      <c r="G180" s="103"/>
      <c r="H180" s="103"/>
      <c r="I180" s="103"/>
      <c r="J180" s="103"/>
      <c r="K180" s="103"/>
      <c r="L180" s="372">
        <v>0</v>
      </c>
      <c r="M180" s="373"/>
      <c r="N180" s="373"/>
      <c r="O180" s="386"/>
      <c r="P180" s="284">
        <f>P179-T179</f>
        <v>6297697.0044915602</v>
      </c>
      <c r="Q180" s="285"/>
      <c r="R180" s="285"/>
      <c r="S180" s="387"/>
      <c r="T180" s="284">
        <f t="shared" si="18"/>
        <v>0</v>
      </c>
      <c r="U180" s="285"/>
      <c r="V180" s="285"/>
      <c r="W180" s="308"/>
      <c r="X180" s="2"/>
      <c r="Y180" s="3"/>
    </row>
    <row r="181" spans="2:26">
      <c r="B181" s="8"/>
      <c r="C181" s="110" t="s">
        <v>221</v>
      </c>
      <c r="D181" s="91"/>
      <c r="E181" s="91"/>
      <c r="F181" s="91"/>
      <c r="G181" s="91"/>
      <c r="H181" s="91"/>
      <c r="I181" s="91"/>
      <c r="J181" s="91"/>
      <c r="K181" s="91"/>
      <c r="L181" s="344">
        <f>SUM(L182:M183)</f>
        <v>0</v>
      </c>
      <c r="M181" s="345"/>
      <c r="N181" s="345"/>
      <c r="O181" s="346"/>
      <c r="P181" s="347">
        <f>P180-T180</f>
        <v>6297697.0044915602</v>
      </c>
      <c r="Q181" s="348"/>
      <c r="R181" s="348"/>
      <c r="S181" s="382"/>
      <c r="T181" s="347">
        <f>SUM(Q182:S183)</f>
        <v>0</v>
      </c>
      <c r="U181" s="348"/>
      <c r="V181" s="348"/>
      <c r="W181" s="349"/>
      <c r="X181" s="2"/>
      <c r="Y181" s="3"/>
    </row>
    <row r="182" spans="2:26">
      <c r="B182" s="8"/>
      <c r="C182" s="73" t="s">
        <v>216</v>
      </c>
      <c r="D182" s="37"/>
      <c r="E182" s="37"/>
      <c r="F182" s="37"/>
      <c r="G182" s="37"/>
      <c r="H182" s="37"/>
      <c r="I182" s="37"/>
      <c r="J182" s="37"/>
      <c r="K182" s="37"/>
      <c r="L182" s="350">
        <v>0</v>
      </c>
      <c r="M182" s="351"/>
      <c r="N182" s="95"/>
      <c r="O182" s="92"/>
      <c r="P182" s="282">
        <f>IFERROR(L182/$L$181*$P$181,0)</f>
        <v>0</v>
      </c>
      <c r="Q182" s="283"/>
      <c r="R182" s="92"/>
      <c r="S182" s="155"/>
      <c r="T182" s="282">
        <f>L182</f>
        <v>0</v>
      </c>
      <c r="U182" s="283"/>
      <c r="V182" s="92"/>
      <c r="W182" s="2"/>
      <c r="X182" s="2"/>
      <c r="Y182" s="3"/>
      <c r="Z182" s="26"/>
    </row>
    <row r="183" spans="2:26">
      <c r="B183" s="8"/>
      <c r="C183" s="102" t="s">
        <v>217</v>
      </c>
      <c r="D183" s="103"/>
      <c r="E183" s="103"/>
      <c r="F183" s="103"/>
      <c r="G183" s="103"/>
      <c r="H183" s="103"/>
      <c r="I183" s="103"/>
      <c r="J183" s="103"/>
      <c r="K183" s="103"/>
      <c r="L183" s="372">
        <v>0</v>
      </c>
      <c r="M183" s="373"/>
      <c r="N183" s="95"/>
      <c r="O183" s="92"/>
      <c r="P183" s="284">
        <f>IFERROR(L183/$L$181*$P$181,0)</f>
        <v>0</v>
      </c>
      <c r="Q183" s="285"/>
      <c r="R183" s="100"/>
      <c r="S183" s="160"/>
      <c r="T183" s="282">
        <f>L183</f>
        <v>0</v>
      </c>
      <c r="U183" s="283"/>
      <c r="V183" s="92"/>
      <c r="W183" s="2"/>
      <c r="X183" s="2"/>
      <c r="Y183" s="3"/>
    </row>
    <row r="184" spans="2:26">
      <c r="B184" s="8"/>
      <c r="C184" s="130" t="s">
        <v>222</v>
      </c>
      <c r="D184" s="103"/>
      <c r="E184" s="103"/>
      <c r="F184" s="103"/>
      <c r="G184" s="103"/>
      <c r="H184" s="103"/>
      <c r="I184" s="103"/>
      <c r="J184" s="103"/>
      <c r="K184" s="103"/>
      <c r="L184" s="378">
        <v>0</v>
      </c>
      <c r="M184" s="379"/>
      <c r="N184" s="379"/>
      <c r="O184" s="380"/>
      <c r="P184" s="367">
        <f>P181-T181</f>
        <v>6297697.0044915602</v>
      </c>
      <c r="Q184" s="368"/>
      <c r="R184" s="368"/>
      <c r="S184" s="369"/>
      <c r="T184" s="367">
        <f>L184</f>
        <v>0</v>
      </c>
      <c r="U184" s="368"/>
      <c r="V184" s="368"/>
      <c r="W184" s="381"/>
      <c r="X184" s="2"/>
      <c r="Y184" s="3"/>
    </row>
    <row r="185" spans="2:26">
      <c r="B185" s="8"/>
      <c r="C185" s="130" t="s">
        <v>223</v>
      </c>
      <c r="D185" s="33"/>
      <c r="E185" s="33"/>
      <c r="F185" s="33"/>
      <c r="G185" s="33"/>
      <c r="H185" s="33"/>
      <c r="I185" s="33"/>
      <c r="J185" s="33"/>
      <c r="K185" s="33"/>
      <c r="L185" s="378">
        <v>0</v>
      </c>
      <c r="M185" s="379"/>
      <c r="N185" s="379"/>
      <c r="O185" s="380"/>
      <c r="P185" s="367">
        <f>P184-T184</f>
        <v>6297697.0044915602</v>
      </c>
      <c r="Q185" s="368"/>
      <c r="R185" s="368"/>
      <c r="S185" s="369"/>
      <c r="T185" s="367">
        <f>L185</f>
        <v>0</v>
      </c>
      <c r="U185" s="368"/>
      <c r="V185" s="368"/>
      <c r="W185" s="381"/>
      <c r="X185" s="2"/>
      <c r="Y185" s="3"/>
      <c r="Z185" s="26"/>
    </row>
    <row r="186" spans="2:26">
      <c r="B186" s="8"/>
      <c r="C186" s="110" t="s">
        <v>224</v>
      </c>
      <c r="D186" s="91"/>
      <c r="E186" s="91"/>
      <c r="F186" s="91"/>
      <c r="G186" s="91"/>
      <c r="H186" s="91"/>
      <c r="I186" s="91"/>
      <c r="J186" s="91"/>
      <c r="K186" s="91"/>
      <c r="L186" s="344">
        <f>SUM(L187:M188)</f>
        <v>0</v>
      </c>
      <c r="M186" s="345"/>
      <c r="N186" s="345"/>
      <c r="O186" s="346"/>
      <c r="P186" s="347">
        <f>P185-T185</f>
        <v>6297697.0044915602</v>
      </c>
      <c r="Q186" s="348"/>
      <c r="R186" s="348"/>
      <c r="S186" s="382"/>
      <c r="T186" s="347">
        <f>SUM(T188)</f>
        <v>0</v>
      </c>
      <c r="U186" s="348"/>
      <c r="V186" s="348"/>
      <c r="W186" s="349"/>
      <c r="X186" s="2"/>
      <c r="Y186" s="3"/>
    </row>
    <row r="187" spans="2:26">
      <c r="B187" s="8"/>
      <c r="C187" s="73" t="s">
        <v>217</v>
      </c>
      <c r="D187" s="37"/>
      <c r="E187" s="37"/>
      <c r="F187" s="37"/>
      <c r="G187" s="37"/>
      <c r="H187" s="37"/>
      <c r="I187" s="37"/>
      <c r="J187" s="37"/>
      <c r="K187" s="37"/>
      <c r="L187" s="350">
        <v>0</v>
      </c>
      <c r="M187" s="351"/>
      <c r="N187" s="95"/>
      <c r="O187" s="92"/>
      <c r="P187" s="282">
        <f>$P$186*I39/SUM($I$39:$J$39)</f>
        <v>3439918.5318651381</v>
      </c>
      <c r="Q187" s="283"/>
      <c r="R187" s="92"/>
      <c r="S187" s="93"/>
      <c r="T187" s="282">
        <f>L187</f>
        <v>0</v>
      </c>
      <c r="U187" s="283"/>
      <c r="V187" s="92"/>
      <c r="W187" s="2"/>
      <c r="X187" s="2"/>
      <c r="Y187" s="3"/>
    </row>
    <row r="188" spans="2:26">
      <c r="B188" s="8"/>
      <c r="C188" s="73" t="s">
        <v>218</v>
      </c>
      <c r="D188" s="103"/>
      <c r="E188" s="103"/>
      <c r="F188" s="103"/>
      <c r="G188" s="103"/>
      <c r="H188" s="103"/>
      <c r="I188" s="103"/>
      <c r="J188" s="103"/>
      <c r="K188" s="103"/>
      <c r="L188" s="372">
        <v>0</v>
      </c>
      <c r="M188" s="373"/>
      <c r="N188" s="95"/>
      <c r="O188" s="92"/>
      <c r="P188" s="284">
        <f>$P$186*J39/SUM($I$39:$J$39)</f>
        <v>2857778.4726264221</v>
      </c>
      <c r="Q188" s="285"/>
      <c r="R188" s="100"/>
      <c r="S188" s="160"/>
      <c r="T188" s="282">
        <f>L188</f>
        <v>0</v>
      </c>
      <c r="U188" s="283"/>
      <c r="V188" s="92"/>
      <c r="W188" s="2"/>
      <c r="X188" s="2"/>
      <c r="Y188" s="3"/>
    </row>
    <row r="189" spans="2:26">
      <c r="B189" s="8"/>
      <c r="C189" s="130" t="s">
        <v>225</v>
      </c>
      <c r="D189" s="33"/>
      <c r="E189" s="33"/>
      <c r="F189" s="33"/>
      <c r="G189" s="33"/>
      <c r="H189" s="33"/>
      <c r="I189" s="33"/>
      <c r="J189" s="33"/>
      <c r="K189" s="33"/>
      <c r="L189" s="378">
        <v>0</v>
      </c>
      <c r="M189" s="379"/>
      <c r="N189" s="379"/>
      <c r="O189" s="380"/>
      <c r="P189" s="367">
        <f>P185-T185</f>
        <v>6297697.0044915602</v>
      </c>
      <c r="Q189" s="368"/>
      <c r="R189" s="368"/>
      <c r="S189" s="369"/>
      <c r="T189" s="367">
        <f>L189</f>
        <v>0</v>
      </c>
      <c r="U189" s="368"/>
      <c r="V189" s="368"/>
      <c r="W189" s="381"/>
      <c r="X189" s="2"/>
      <c r="Y189" s="3"/>
    </row>
    <row r="190" spans="2:26">
      <c r="B190" s="8"/>
      <c r="C190" s="110" t="s">
        <v>226</v>
      </c>
      <c r="D190" s="91"/>
      <c r="E190" s="91"/>
      <c r="F190" s="91"/>
      <c r="G190" s="91"/>
      <c r="H190" s="91"/>
      <c r="I190" s="91"/>
      <c r="J190" s="91"/>
      <c r="K190" s="91"/>
      <c r="L190" s="344">
        <f>SUM(L191:M191)</f>
        <v>0</v>
      </c>
      <c r="M190" s="345"/>
      <c r="N190" s="345"/>
      <c r="O190" s="346"/>
      <c r="P190" s="347">
        <f>P189-T189</f>
        <v>6297697.0044915602</v>
      </c>
      <c r="Q190" s="348"/>
      <c r="R190" s="348"/>
      <c r="S190" s="382"/>
      <c r="T190" s="347">
        <f>SUM(T191)</f>
        <v>0</v>
      </c>
      <c r="U190" s="348"/>
      <c r="V190" s="348"/>
      <c r="W190" s="349"/>
      <c r="X190" s="2"/>
      <c r="Y190" s="3"/>
    </row>
    <row r="191" spans="2:26">
      <c r="B191" s="8"/>
      <c r="C191" s="73" t="s">
        <v>218</v>
      </c>
      <c r="D191" s="103"/>
      <c r="E191" s="103"/>
      <c r="F191" s="103"/>
      <c r="G191" s="103"/>
      <c r="H191" s="103"/>
      <c r="I191" s="103"/>
      <c r="J191" s="103"/>
      <c r="K191" s="103"/>
      <c r="L191" s="372">
        <v>0</v>
      </c>
      <c r="M191" s="373"/>
      <c r="N191" s="95"/>
      <c r="O191" s="92"/>
      <c r="P191" s="284">
        <f>P190</f>
        <v>6297697.0044915602</v>
      </c>
      <c r="Q191" s="285"/>
      <c r="R191" s="100"/>
      <c r="S191" s="160"/>
      <c r="T191" s="282">
        <f>L191</f>
        <v>0</v>
      </c>
      <c r="U191" s="283"/>
      <c r="V191" s="92"/>
      <c r="W191" s="2"/>
      <c r="X191" s="2"/>
      <c r="Y191" s="3"/>
    </row>
    <row r="192" spans="2:26">
      <c r="B192" s="8"/>
      <c r="C192" s="130" t="s">
        <v>227</v>
      </c>
      <c r="D192" s="33"/>
      <c r="E192" s="33"/>
      <c r="F192" s="33"/>
      <c r="G192" s="33"/>
      <c r="H192" s="33"/>
      <c r="I192" s="33"/>
      <c r="J192" s="33"/>
      <c r="K192" s="33"/>
      <c r="L192" s="378">
        <v>0</v>
      </c>
      <c r="M192" s="379"/>
      <c r="N192" s="379"/>
      <c r="O192" s="380"/>
      <c r="P192" s="367">
        <f>P190-T190</f>
        <v>6297697.0044915602</v>
      </c>
      <c r="Q192" s="368"/>
      <c r="R192" s="368"/>
      <c r="S192" s="369"/>
      <c r="T192" s="367">
        <f>L192</f>
        <v>0</v>
      </c>
      <c r="U192" s="368"/>
      <c r="V192" s="368"/>
      <c r="W192" s="381"/>
      <c r="X192" s="2"/>
      <c r="Y192" s="3"/>
    </row>
    <row r="193" spans="2:25">
      <c r="B193" s="8"/>
      <c r="C193" s="130" t="s">
        <v>228</v>
      </c>
      <c r="D193" s="33"/>
      <c r="E193" s="33"/>
      <c r="F193" s="33"/>
      <c r="G193" s="33"/>
      <c r="H193" s="33"/>
      <c r="I193" s="33"/>
      <c r="J193" s="33"/>
      <c r="K193" s="33"/>
      <c r="L193" s="378">
        <v>0</v>
      </c>
      <c r="M193" s="379"/>
      <c r="N193" s="379"/>
      <c r="O193" s="380"/>
      <c r="P193" s="367">
        <f>P192-T192</f>
        <v>6297697.0044915602</v>
      </c>
      <c r="Q193" s="368"/>
      <c r="R193" s="368"/>
      <c r="S193" s="369"/>
      <c r="T193" s="367">
        <f>L193</f>
        <v>0</v>
      </c>
      <c r="U193" s="368"/>
      <c r="V193" s="368"/>
      <c r="W193" s="381"/>
      <c r="X193" s="2"/>
      <c r="Y193" s="3"/>
    </row>
    <row r="194" spans="2:25">
      <c r="B194" s="8"/>
      <c r="C194" s="130" t="s">
        <v>229</v>
      </c>
      <c r="D194" s="33"/>
      <c r="E194" s="33"/>
      <c r="F194" s="33"/>
      <c r="G194" s="33"/>
      <c r="H194" s="33"/>
      <c r="I194" s="33"/>
      <c r="J194" s="33"/>
      <c r="K194" s="33"/>
      <c r="L194" s="378">
        <v>0</v>
      </c>
      <c r="M194" s="379"/>
      <c r="N194" s="379"/>
      <c r="O194" s="380"/>
      <c r="P194" s="367">
        <f>P193-T193</f>
        <v>6297697.0044915602</v>
      </c>
      <c r="Q194" s="368"/>
      <c r="R194" s="368"/>
      <c r="S194" s="369"/>
      <c r="T194" s="367">
        <f>L194</f>
        <v>0</v>
      </c>
      <c r="U194" s="368"/>
      <c r="V194" s="368"/>
      <c r="W194" s="381"/>
      <c r="X194" s="2"/>
      <c r="Y194" s="3"/>
    </row>
    <row r="195" spans="2:25">
      <c r="B195" s="8"/>
      <c r="C195" s="110" t="s">
        <v>230</v>
      </c>
      <c r="D195" s="91"/>
      <c r="E195" s="91"/>
      <c r="F195" s="91"/>
      <c r="G195" s="91"/>
      <c r="H195" s="91"/>
      <c r="I195" s="91"/>
      <c r="J195" s="91"/>
      <c r="K195" s="91"/>
      <c r="L195" s="344">
        <f>SUM(L196:M198)</f>
        <v>2012139.072985023</v>
      </c>
      <c r="M195" s="345"/>
      <c r="N195" s="345"/>
      <c r="O195" s="346"/>
      <c r="P195" s="347">
        <f>P194-T194</f>
        <v>6297697.0044915602</v>
      </c>
      <c r="Q195" s="348"/>
      <c r="R195" s="348"/>
      <c r="S195" s="382"/>
      <c r="T195" s="347">
        <f>SUM(T196:T198)</f>
        <v>2012139.072985023</v>
      </c>
      <c r="U195" s="348"/>
      <c r="V195" s="348"/>
      <c r="W195" s="349"/>
      <c r="X195" s="2"/>
      <c r="Y195" s="3"/>
    </row>
    <row r="196" spans="2:25">
      <c r="B196" s="8"/>
      <c r="C196" s="73" t="s">
        <v>231</v>
      </c>
      <c r="D196" s="37"/>
      <c r="E196" s="37"/>
      <c r="F196" s="37"/>
      <c r="G196" s="37"/>
      <c r="H196" s="37"/>
      <c r="I196" s="37"/>
      <c r="J196" s="37"/>
      <c r="K196" s="37"/>
      <c r="L196" s="350">
        <f>Q232</f>
        <v>2012139.072985023</v>
      </c>
      <c r="M196" s="351"/>
      <c r="N196" s="95"/>
      <c r="O196" s="92"/>
      <c r="P196" s="282">
        <f>L196/$L$195*P195</f>
        <v>6297697.0044915602</v>
      </c>
      <c r="Q196" s="283"/>
      <c r="R196" s="92"/>
      <c r="S196" s="93"/>
      <c r="T196" s="282">
        <f>L196</f>
        <v>2012139.072985023</v>
      </c>
      <c r="U196" s="283"/>
      <c r="V196" s="92"/>
      <c r="W196" s="2"/>
      <c r="X196" s="2"/>
      <c r="Y196" s="3"/>
    </row>
    <row r="197" spans="2:25">
      <c r="B197" s="8"/>
      <c r="C197" s="73" t="s">
        <v>232</v>
      </c>
      <c r="D197" s="37"/>
      <c r="E197" s="37"/>
      <c r="F197" s="37"/>
      <c r="G197" s="37"/>
      <c r="H197" s="37"/>
      <c r="I197" s="37"/>
      <c r="J197" s="37"/>
      <c r="K197" s="37"/>
      <c r="L197" s="350">
        <v>0</v>
      </c>
      <c r="M197" s="351"/>
      <c r="N197" s="95"/>
      <c r="O197" s="92"/>
      <c r="P197" s="282">
        <f>L197/$L$195*P196</f>
        <v>0</v>
      </c>
      <c r="Q197" s="283"/>
      <c r="R197" s="92"/>
      <c r="S197" s="93"/>
      <c r="T197" s="282">
        <f>L197</f>
        <v>0</v>
      </c>
      <c r="U197" s="283"/>
      <c r="V197" s="92"/>
      <c r="W197" s="2"/>
      <c r="X197" s="2"/>
      <c r="Y197" s="3"/>
    </row>
    <row r="198" spans="2:25">
      <c r="B198" s="8"/>
      <c r="C198" s="102" t="s">
        <v>233</v>
      </c>
      <c r="D198" s="103"/>
      <c r="E198" s="103"/>
      <c r="F198" s="103"/>
      <c r="G198" s="103"/>
      <c r="H198" s="103"/>
      <c r="I198" s="103"/>
      <c r="J198" s="103"/>
      <c r="K198" s="103"/>
      <c r="L198" s="372">
        <v>0</v>
      </c>
      <c r="M198" s="373"/>
      <c r="N198" s="95"/>
      <c r="O198" s="92"/>
      <c r="P198" s="284">
        <f>L198/$L$195*P195</f>
        <v>0</v>
      </c>
      <c r="Q198" s="285"/>
      <c r="R198" s="92"/>
      <c r="S198" s="93"/>
      <c r="T198" s="282">
        <f>L198</f>
        <v>0</v>
      </c>
      <c r="U198" s="283"/>
      <c r="V198" s="92"/>
      <c r="W198" s="2"/>
      <c r="X198" s="2"/>
      <c r="Y198" s="3"/>
    </row>
    <row r="199" spans="2:25">
      <c r="B199" s="8"/>
      <c r="C199" s="130" t="s">
        <v>234</v>
      </c>
      <c r="D199" s="33"/>
      <c r="E199" s="33"/>
      <c r="F199" s="33"/>
      <c r="G199" s="33"/>
      <c r="H199" s="33"/>
      <c r="I199" s="33"/>
      <c r="J199" s="33"/>
      <c r="K199" s="33"/>
      <c r="L199" s="378">
        <v>4285558</v>
      </c>
      <c r="M199" s="379"/>
      <c r="N199" s="379"/>
      <c r="O199" s="380"/>
      <c r="P199" s="378">
        <f>P195-T195</f>
        <v>4285557.9315065369</v>
      </c>
      <c r="Q199" s="379"/>
      <c r="R199" s="379"/>
      <c r="S199" s="380"/>
      <c r="T199" s="367">
        <f>L199</f>
        <v>4285558</v>
      </c>
      <c r="U199" s="368"/>
      <c r="V199" s="368"/>
      <c r="W199" s="381"/>
      <c r="X199" s="2"/>
      <c r="Y199" s="3"/>
    </row>
    <row r="200" spans="2:25" ht="15" thickBot="1">
      <c r="B200" s="8"/>
      <c r="C200" s="163" t="s">
        <v>235</v>
      </c>
      <c r="D200" s="85"/>
      <c r="E200" s="85"/>
      <c r="F200" s="85"/>
      <c r="G200" s="85"/>
      <c r="H200" s="85"/>
      <c r="I200" s="85"/>
      <c r="J200" s="85"/>
      <c r="K200" s="85"/>
      <c r="L200" s="388">
        <v>0</v>
      </c>
      <c r="M200" s="389"/>
      <c r="N200" s="389"/>
      <c r="O200" s="390"/>
      <c r="P200" s="388">
        <f>P199-T199</f>
        <v>-6.8493463099002838E-2</v>
      </c>
      <c r="Q200" s="389"/>
      <c r="R200" s="389"/>
      <c r="S200" s="390"/>
      <c r="T200" s="322">
        <f>L200</f>
        <v>0</v>
      </c>
      <c r="U200" s="323"/>
      <c r="V200" s="323"/>
      <c r="W200" s="324"/>
      <c r="X200" s="2"/>
      <c r="Y200" s="3"/>
    </row>
    <row r="201" spans="2:25" ht="15" thickBot="1">
      <c r="B201" s="8"/>
      <c r="C201" s="164" t="s">
        <v>236</v>
      </c>
      <c r="D201" s="165"/>
      <c r="E201" s="166"/>
      <c r="F201" s="165"/>
      <c r="G201" s="165"/>
      <c r="H201" s="165"/>
      <c r="I201" s="165"/>
      <c r="J201" s="165"/>
      <c r="K201" s="166"/>
      <c r="L201" s="391">
        <f ca="1">SUM(L151,L152,L155,L158,L162,L163,L164,L166:O173,L179:O181,L184:O186,L189:O190,L192:O195,L199:O200)</f>
        <v>110094252.99975505</v>
      </c>
      <c r="M201" s="392"/>
      <c r="N201" s="392"/>
      <c r="O201" s="393"/>
      <c r="P201" s="391">
        <f>P151</f>
        <v>110094252.9742616</v>
      </c>
      <c r="Q201" s="392"/>
      <c r="R201" s="392"/>
      <c r="S201" s="393"/>
      <c r="T201" s="391">
        <f>P201</f>
        <v>110094252.9742616</v>
      </c>
      <c r="U201" s="392"/>
      <c r="V201" s="392"/>
      <c r="W201" s="394"/>
      <c r="X201" s="2"/>
      <c r="Y201" s="3"/>
    </row>
    <row r="202" spans="2:25" ht="15" thickBot="1">
      <c r="B202" s="8"/>
      <c r="C202" s="120"/>
      <c r="D202" s="3"/>
      <c r="E202" s="3"/>
      <c r="F202" s="3"/>
      <c r="G202" s="3"/>
      <c r="H202" s="3"/>
      <c r="I202" s="3"/>
      <c r="J202" s="3"/>
      <c r="K202" s="3"/>
      <c r="L202" s="3"/>
      <c r="M202" s="3"/>
      <c r="N202" s="3"/>
      <c r="O202" s="71"/>
      <c r="P202" s="3"/>
      <c r="Q202" s="3"/>
      <c r="R202" s="3"/>
      <c r="S202" s="3"/>
      <c r="T202" s="3"/>
      <c r="U202" s="3"/>
      <c r="V202" s="3"/>
      <c r="W202" s="2"/>
      <c r="X202" s="2"/>
      <c r="Y202" s="3"/>
    </row>
    <row r="203" spans="2:25">
      <c r="B203" s="8"/>
      <c r="C203" s="401" t="s">
        <v>237</v>
      </c>
      <c r="D203" s="402"/>
      <c r="E203" s="402"/>
      <c r="F203" s="402"/>
      <c r="G203" s="402"/>
      <c r="H203" s="402"/>
      <c r="I203" s="402"/>
      <c r="J203" s="402"/>
      <c r="K203" s="402"/>
      <c r="L203" s="402"/>
      <c r="M203" s="402"/>
      <c r="N203" s="402"/>
      <c r="O203" s="402"/>
      <c r="P203" s="402"/>
      <c r="Q203" s="402"/>
      <c r="R203" s="402"/>
      <c r="S203" s="402"/>
      <c r="T203" s="402"/>
      <c r="U203" s="402"/>
      <c r="V203" s="402"/>
      <c r="W203" s="403"/>
      <c r="X203" s="2"/>
      <c r="Y203" s="3"/>
    </row>
    <row r="204" spans="2:25">
      <c r="B204" s="8"/>
      <c r="C204" s="130" t="s">
        <v>238</v>
      </c>
      <c r="D204" s="167"/>
      <c r="E204" s="167"/>
      <c r="F204" s="167"/>
      <c r="G204" s="167"/>
      <c r="H204" s="167"/>
      <c r="I204" s="167"/>
      <c r="J204" s="167"/>
      <c r="K204" s="167"/>
      <c r="L204" s="167"/>
      <c r="M204" s="167"/>
      <c r="N204" s="167"/>
      <c r="O204" s="167"/>
      <c r="P204" s="168"/>
      <c r="Q204" s="399">
        <v>33219778</v>
      </c>
      <c r="R204" s="399"/>
      <c r="S204" s="399"/>
      <c r="T204" s="399"/>
      <c r="U204" s="399"/>
      <c r="V204" s="399"/>
      <c r="W204" s="400"/>
      <c r="X204" s="2"/>
      <c r="Y204" s="3"/>
    </row>
    <row r="205" spans="2:25">
      <c r="B205" s="8"/>
      <c r="C205" s="130" t="s">
        <v>239</v>
      </c>
      <c r="D205" s="22"/>
      <c r="E205" s="22"/>
      <c r="F205" s="22"/>
      <c r="G205" s="22"/>
      <c r="H205" s="22"/>
      <c r="I205" s="22"/>
      <c r="J205" s="22"/>
      <c r="K205" s="22"/>
      <c r="L205" s="22"/>
      <c r="M205" s="22"/>
      <c r="N205" s="22"/>
      <c r="O205" s="22"/>
      <c r="P205" s="131"/>
      <c r="Q205" s="399">
        <v>33219778</v>
      </c>
      <c r="R205" s="399"/>
      <c r="S205" s="399"/>
      <c r="T205" s="399"/>
      <c r="U205" s="399"/>
      <c r="V205" s="399"/>
      <c r="W205" s="400"/>
      <c r="X205" s="2"/>
      <c r="Y205" s="3"/>
    </row>
    <row r="206" spans="2:25">
      <c r="B206" s="8"/>
      <c r="C206" s="23" t="s">
        <v>240</v>
      </c>
      <c r="D206" s="22"/>
      <c r="E206" s="22"/>
      <c r="F206" s="22"/>
      <c r="G206" s="22"/>
      <c r="H206" s="22"/>
      <c r="I206" s="22"/>
      <c r="J206" s="22"/>
      <c r="K206" s="22"/>
      <c r="L206" s="22"/>
      <c r="M206" s="22"/>
      <c r="N206" s="22"/>
      <c r="O206" s="22"/>
      <c r="P206" s="131"/>
      <c r="Q206" s="399">
        <v>26901000</v>
      </c>
      <c r="R206" s="399"/>
      <c r="S206" s="399"/>
      <c r="T206" s="399"/>
      <c r="U206" s="399"/>
      <c r="V206" s="399"/>
      <c r="W206" s="400"/>
      <c r="X206" s="2"/>
      <c r="Y206" s="3"/>
    </row>
    <row r="207" spans="2:25">
      <c r="B207" s="8"/>
      <c r="C207" s="23" t="s">
        <v>241</v>
      </c>
      <c r="D207" s="22"/>
      <c r="E207" s="22"/>
      <c r="F207" s="22"/>
      <c r="G207" s="22"/>
      <c r="H207" s="22"/>
      <c r="I207" s="22"/>
      <c r="J207" s="22"/>
      <c r="K207" s="22"/>
      <c r="L207" s="22"/>
      <c r="M207" s="22"/>
      <c r="N207" s="22"/>
      <c r="O207" s="22"/>
      <c r="P207" s="131"/>
      <c r="Q207" s="399">
        <f>Q204-Q206</f>
        <v>6318778</v>
      </c>
      <c r="R207" s="399"/>
      <c r="S207" s="399"/>
      <c r="T207" s="399"/>
      <c r="U207" s="399"/>
      <c r="V207" s="399"/>
      <c r="W207" s="400"/>
      <c r="X207" s="2"/>
      <c r="Y207" s="3"/>
    </row>
    <row r="208" spans="2:25">
      <c r="B208" s="8"/>
      <c r="C208" s="23" t="s">
        <v>242</v>
      </c>
      <c r="D208" s="22"/>
      <c r="E208" s="22"/>
      <c r="F208" s="22"/>
      <c r="G208" s="22"/>
      <c r="H208" s="22"/>
      <c r="I208" s="22"/>
      <c r="J208" s="22"/>
      <c r="K208" s="22"/>
      <c r="L208" s="22"/>
      <c r="M208" s="22"/>
      <c r="N208" s="22"/>
      <c r="O208" s="22"/>
      <c r="P208" s="131"/>
      <c r="Q208" s="399">
        <v>0</v>
      </c>
      <c r="R208" s="399"/>
      <c r="S208" s="399"/>
      <c r="T208" s="399"/>
      <c r="U208" s="399"/>
      <c r="V208" s="399"/>
      <c r="W208" s="400"/>
      <c r="X208" s="2"/>
      <c r="Y208" s="3"/>
    </row>
    <row r="209" spans="2:25" ht="15" thickBot="1">
      <c r="B209" s="8"/>
      <c r="C209" s="27" t="s">
        <v>243</v>
      </c>
      <c r="D209" s="28"/>
      <c r="E209" s="28"/>
      <c r="F209" s="28"/>
      <c r="G209" s="28"/>
      <c r="H209" s="28"/>
      <c r="I209" s="28"/>
      <c r="J209" s="28"/>
      <c r="K209" s="28"/>
      <c r="L209" s="28"/>
      <c r="M209" s="28"/>
      <c r="N209" s="28"/>
      <c r="O209" s="28"/>
      <c r="P209" s="133"/>
      <c r="Q209" s="395">
        <f>Q206</f>
        <v>26901000</v>
      </c>
      <c r="R209" s="395"/>
      <c r="S209" s="395"/>
      <c r="T209" s="395"/>
      <c r="U209" s="395"/>
      <c r="V209" s="395"/>
      <c r="W209" s="396"/>
      <c r="X209" s="2"/>
      <c r="Y209" s="3"/>
    </row>
    <row r="210" spans="2:25" ht="15" thickBot="1">
      <c r="B210" s="8"/>
      <c r="C210" s="3"/>
      <c r="D210" s="3"/>
      <c r="E210" s="3"/>
      <c r="F210" s="3"/>
      <c r="G210" s="3"/>
      <c r="H210" s="3"/>
      <c r="I210" s="3"/>
      <c r="J210" s="3"/>
      <c r="K210" s="3"/>
      <c r="L210" s="3"/>
      <c r="M210" s="3"/>
      <c r="N210" s="3"/>
      <c r="O210" s="3"/>
      <c r="P210" s="3"/>
      <c r="Q210" s="3"/>
      <c r="R210" s="3"/>
      <c r="S210" s="3"/>
      <c r="T210" s="3"/>
      <c r="U210" s="3"/>
      <c r="V210" s="3"/>
      <c r="W210" s="2"/>
      <c r="X210" s="2"/>
      <c r="Y210" s="3"/>
    </row>
    <row r="211" spans="2:25" ht="15" thickBot="1">
      <c r="B211" s="8"/>
      <c r="C211" s="267" t="s">
        <v>244</v>
      </c>
      <c r="D211" s="268"/>
      <c r="E211" s="268"/>
      <c r="F211" s="268"/>
      <c r="G211" s="268"/>
      <c r="H211" s="268"/>
      <c r="I211" s="268"/>
      <c r="J211" s="268"/>
      <c r="K211" s="268"/>
      <c r="L211" s="268"/>
      <c r="M211" s="268"/>
      <c r="N211" s="268"/>
      <c r="O211" s="268"/>
      <c r="P211" s="268"/>
      <c r="Q211" s="268"/>
      <c r="R211" s="268"/>
      <c r="S211" s="268"/>
      <c r="T211" s="268"/>
      <c r="U211" s="268"/>
      <c r="V211" s="268"/>
      <c r="W211" s="269"/>
      <c r="X211" s="2"/>
      <c r="Y211" s="3"/>
    </row>
    <row r="212" spans="2:25">
      <c r="B212" s="8"/>
      <c r="C212" s="128" t="s">
        <v>245</v>
      </c>
      <c r="D212" s="169"/>
      <c r="E212" s="169"/>
      <c r="F212" s="169"/>
      <c r="G212" s="169"/>
      <c r="H212" s="169"/>
      <c r="I212" s="169"/>
      <c r="J212" s="169"/>
      <c r="K212" s="169"/>
      <c r="L212" s="169"/>
      <c r="M212" s="169"/>
      <c r="N212" s="169"/>
      <c r="O212" s="169"/>
      <c r="P212" s="170"/>
      <c r="Q212" s="397">
        <v>0</v>
      </c>
      <c r="R212" s="397"/>
      <c r="S212" s="397"/>
      <c r="T212" s="397"/>
      <c r="U212" s="397"/>
      <c r="V212" s="397"/>
      <c r="W212" s="398"/>
      <c r="X212" s="2"/>
      <c r="Y212" s="3"/>
    </row>
    <row r="213" spans="2:25">
      <c r="B213" s="8"/>
      <c r="C213" s="130" t="s">
        <v>246</v>
      </c>
      <c r="D213" s="167"/>
      <c r="E213" s="167"/>
      <c r="F213" s="167"/>
      <c r="G213" s="167"/>
      <c r="H213" s="167"/>
      <c r="I213" s="167"/>
      <c r="J213" s="167"/>
      <c r="K213" s="167"/>
      <c r="L213" s="167"/>
      <c r="M213" s="167"/>
      <c r="N213" s="167"/>
      <c r="O213" s="167"/>
      <c r="P213" s="168"/>
      <c r="Q213" s="399">
        <v>0</v>
      </c>
      <c r="R213" s="399"/>
      <c r="S213" s="399"/>
      <c r="T213" s="399"/>
      <c r="U213" s="399"/>
      <c r="V213" s="399"/>
      <c r="W213" s="400"/>
      <c r="X213" s="2"/>
      <c r="Y213" s="3"/>
    </row>
    <row r="214" spans="2:25">
      <c r="B214" s="8"/>
      <c r="C214" s="130" t="s">
        <v>247</v>
      </c>
      <c r="D214" s="167"/>
      <c r="E214" s="167"/>
      <c r="F214" s="167"/>
      <c r="G214" s="167"/>
      <c r="H214" s="167"/>
      <c r="I214" s="167"/>
      <c r="J214" s="167"/>
      <c r="K214" s="167"/>
      <c r="L214" s="167"/>
      <c r="M214" s="167"/>
      <c r="N214" s="167"/>
      <c r="O214" s="167"/>
      <c r="P214" s="168"/>
      <c r="Q214" s="399">
        <v>0</v>
      </c>
      <c r="R214" s="399"/>
      <c r="S214" s="399"/>
      <c r="T214" s="399"/>
      <c r="U214" s="399"/>
      <c r="V214" s="399"/>
      <c r="W214" s="400"/>
      <c r="X214" s="2"/>
      <c r="Y214" s="3"/>
    </row>
    <row r="215" spans="2:25">
      <c r="B215" s="8"/>
      <c r="C215" s="130" t="s">
        <v>248</v>
      </c>
      <c r="D215" s="167"/>
      <c r="E215" s="167"/>
      <c r="F215" s="167"/>
      <c r="G215" s="167"/>
      <c r="H215" s="167"/>
      <c r="I215" s="167"/>
      <c r="J215" s="167"/>
      <c r="K215" s="167"/>
      <c r="L215" s="167"/>
      <c r="M215" s="167"/>
      <c r="N215" s="167"/>
      <c r="O215" s="167"/>
      <c r="P215" s="168"/>
      <c r="Q215" s="399">
        <f>Q212+Q213-Q214</f>
        <v>0</v>
      </c>
      <c r="R215" s="399"/>
      <c r="S215" s="399"/>
      <c r="T215" s="399"/>
      <c r="U215" s="399"/>
      <c r="V215" s="399"/>
      <c r="W215" s="400"/>
      <c r="X215" s="2"/>
      <c r="Y215" s="3"/>
    </row>
    <row r="216" spans="2:25">
      <c r="B216" s="8"/>
      <c r="C216" s="130" t="s">
        <v>249</v>
      </c>
      <c r="D216" s="167"/>
      <c r="E216" s="167"/>
      <c r="F216" s="167"/>
      <c r="G216" s="167"/>
      <c r="H216" s="167"/>
      <c r="I216" s="167"/>
      <c r="J216" s="167"/>
      <c r="K216" s="167"/>
      <c r="L216" s="167"/>
      <c r="M216" s="167"/>
      <c r="N216" s="167"/>
      <c r="O216" s="167"/>
      <c r="P216" s="168"/>
      <c r="Q216" s="399">
        <v>0</v>
      </c>
      <c r="R216" s="399"/>
      <c r="S216" s="399"/>
      <c r="T216" s="399"/>
      <c r="U216" s="399"/>
      <c r="V216" s="399"/>
      <c r="W216" s="400"/>
      <c r="X216" s="2"/>
      <c r="Y216" s="3"/>
    </row>
    <row r="217" spans="2:25">
      <c r="B217" s="8"/>
      <c r="C217" s="130" t="s">
        <v>250</v>
      </c>
      <c r="D217" s="167"/>
      <c r="E217" s="167"/>
      <c r="F217" s="167"/>
      <c r="G217" s="167"/>
      <c r="H217" s="167"/>
      <c r="I217" s="167"/>
      <c r="J217" s="167"/>
      <c r="K217" s="167"/>
      <c r="L217" s="167"/>
      <c r="M217" s="167"/>
      <c r="N217" s="167"/>
      <c r="O217" s="167"/>
      <c r="P217" s="168"/>
      <c r="Q217" s="399">
        <v>0</v>
      </c>
      <c r="R217" s="399"/>
      <c r="S217" s="399"/>
      <c r="T217" s="399"/>
      <c r="U217" s="399"/>
      <c r="V217" s="399"/>
      <c r="W217" s="400"/>
      <c r="X217" s="2"/>
      <c r="Y217" s="3"/>
    </row>
    <row r="218" spans="2:25" ht="15" thickBot="1">
      <c r="B218" s="8"/>
      <c r="C218" s="163" t="s">
        <v>251</v>
      </c>
      <c r="D218" s="171"/>
      <c r="E218" s="171"/>
      <c r="F218" s="171"/>
      <c r="G218" s="171"/>
      <c r="H218" s="171"/>
      <c r="I218" s="171"/>
      <c r="J218" s="171"/>
      <c r="K218" s="171"/>
      <c r="L218" s="171"/>
      <c r="M218" s="171"/>
      <c r="N218" s="171"/>
      <c r="O218" s="171"/>
      <c r="P218" s="172"/>
      <c r="Q218" s="399">
        <f>Q215-Q216+Q217</f>
        <v>0</v>
      </c>
      <c r="R218" s="399"/>
      <c r="S218" s="399"/>
      <c r="T218" s="399"/>
      <c r="U218" s="399"/>
      <c r="V218" s="399"/>
      <c r="W218" s="400"/>
      <c r="X218" s="2"/>
      <c r="Y218" s="3"/>
    </row>
    <row r="219" spans="2:25" ht="15" thickBot="1">
      <c r="B219" s="8"/>
      <c r="C219" s="173"/>
      <c r="D219" s="174"/>
      <c r="E219" s="174"/>
      <c r="F219" s="174"/>
      <c r="G219" s="174"/>
      <c r="H219" s="174"/>
      <c r="I219" s="174"/>
      <c r="J219" s="174"/>
      <c r="K219" s="174"/>
      <c r="L219" s="174"/>
      <c r="M219" s="174"/>
      <c r="N219" s="174"/>
      <c r="O219" s="174"/>
      <c r="P219" s="175"/>
      <c r="Q219" s="175"/>
      <c r="R219" s="175"/>
      <c r="S219" s="175"/>
      <c r="T219" s="175"/>
      <c r="U219" s="175"/>
      <c r="V219" s="175"/>
      <c r="W219" s="2"/>
      <c r="X219" s="2"/>
      <c r="Y219" s="3"/>
    </row>
    <row r="220" spans="2:25" ht="15" thickBot="1">
      <c r="B220" s="8"/>
      <c r="C220" s="267" t="s">
        <v>252</v>
      </c>
      <c r="D220" s="268"/>
      <c r="E220" s="268"/>
      <c r="F220" s="268"/>
      <c r="G220" s="268"/>
      <c r="H220" s="268"/>
      <c r="I220" s="268"/>
      <c r="J220" s="268"/>
      <c r="K220" s="268"/>
      <c r="L220" s="268"/>
      <c r="M220" s="268"/>
      <c r="N220" s="268"/>
      <c r="O220" s="268"/>
      <c r="P220" s="268"/>
      <c r="Q220" s="268"/>
      <c r="R220" s="268"/>
      <c r="S220" s="268"/>
      <c r="T220" s="268"/>
      <c r="U220" s="268"/>
      <c r="V220" s="268"/>
      <c r="W220" s="269"/>
      <c r="X220" s="2"/>
      <c r="Y220" s="3"/>
    </row>
    <row r="221" spans="2:25">
      <c r="B221" s="8"/>
      <c r="C221" s="145" t="s">
        <v>253</v>
      </c>
      <c r="D221" s="11"/>
      <c r="E221" s="176"/>
      <c r="F221" s="176"/>
      <c r="G221" s="176"/>
      <c r="H221" s="176"/>
      <c r="I221" s="176"/>
      <c r="J221" s="176"/>
      <c r="K221" s="176"/>
      <c r="L221" s="176"/>
      <c r="M221" s="176"/>
      <c r="N221" s="176"/>
      <c r="O221" s="176"/>
      <c r="P221" s="404">
        <f>10%</f>
        <v>0.1</v>
      </c>
      <c r="Q221" s="405"/>
      <c r="R221" s="405"/>
      <c r="S221" s="405"/>
      <c r="T221" s="405"/>
      <c r="U221" s="405"/>
      <c r="V221" s="405"/>
      <c r="W221" s="406"/>
      <c r="X221" s="2"/>
      <c r="Y221" s="3"/>
    </row>
    <row r="222" spans="2:25">
      <c r="B222" s="8"/>
      <c r="C222" s="23"/>
      <c r="D222" s="33"/>
      <c r="E222" s="33"/>
      <c r="F222" s="33"/>
      <c r="G222" s="33"/>
      <c r="H222" s="33"/>
      <c r="I222" s="33"/>
      <c r="J222" s="33"/>
      <c r="K222" s="33"/>
      <c r="L222" s="407" t="s">
        <v>254</v>
      </c>
      <c r="M222" s="408"/>
      <c r="N222" s="409"/>
      <c r="O222" s="410" t="s">
        <v>255</v>
      </c>
      <c r="P222" s="411"/>
      <c r="Q222" s="412" t="s">
        <v>256</v>
      </c>
      <c r="R222" s="412"/>
      <c r="S222" s="412"/>
      <c r="T222" s="412"/>
      <c r="U222" s="412" t="s">
        <v>257</v>
      </c>
      <c r="V222" s="412"/>
      <c r="W222" s="413"/>
      <c r="X222" s="2"/>
      <c r="Y222" s="3"/>
    </row>
    <row r="223" spans="2:25">
      <c r="B223" s="8"/>
      <c r="C223" s="12" t="s">
        <v>258</v>
      </c>
      <c r="D223" s="37"/>
      <c r="E223" s="37"/>
      <c r="F223" s="37"/>
      <c r="G223" s="37"/>
      <c r="H223" s="37"/>
      <c r="I223" s="37"/>
      <c r="J223" s="37"/>
      <c r="K223" s="37"/>
      <c r="L223" s="423">
        <f>K14</f>
        <v>46069</v>
      </c>
      <c r="M223" s="424"/>
      <c r="N223" s="425"/>
      <c r="O223" s="426">
        <f>K29</f>
        <v>6.6669999999999993E-2</v>
      </c>
      <c r="P223" s="427"/>
      <c r="Q223" s="428">
        <v>153651392.35271823</v>
      </c>
      <c r="R223" s="428"/>
      <c r="S223" s="428"/>
      <c r="T223" s="428"/>
      <c r="U223" s="428">
        <f>Q223</f>
        <v>153651392.35271823</v>
      </c>
      <c r="V223" s="428"/>
      <c r="W223" s="429"/>
      <c r="X223" s="2"/>
      <c r="Y223" s="3"/>
    </row>
    <row r="224" spans="2:25">
      <c r="B224" s="8"/>
      <c r="C224" s="90" t="s">
        <v>259</v>
      </c>
      <c r="D224" s="14"/>
      <c r="E224" s="14"/>
      <c r="F224" s="14"/>
      <c r="G224" s="14"/>
      <c r="H224" s="14"/>
      <c r="I224" s="14"/>
      <c r="J224" s="14"/>
      <c r="K224" s="14"/>
      <c r="L224" s="430"/>
      <c r="M224" s="431"/>
      <c r="N224" s="432"/>
      <c r="O224" s="433"/>
      <c r="P224" s="434"/>
      <c r="Q224" s="435">
        <f>SUM(Q225:S227)</f>
        <v>0</v>
      </c>
      <c r="R224" s="436"/>
      <c r="S224" s="436"/>
      <c r="T224" s="436"/>
      <c r="U224" s="437">
        <f>Q224</f>
        <v>0</v>
      </c>
      <c r="V224" s="437"/>
      <c r="W224" s="438"/>
      <c r="X224" s="2"/>
      <c r="Y224" s="3"/>
    </row>
    <row r="225" spans="2:25">
      <c r="B225" s="8"/>
      <c r="C225" s="73" t="s">
        <v>260</v>
      </c>
      <c r="D225" s="37"/>
      <c r="E225" s="37"/>
      <c r="F225" s="37"/>
      <c r="G225" s="37"/>
      <c r="H225" s="37"/>
      <c r="I225" s="37"/>
      <c r="J225" s="37"/>
      <c r="K225" s="37"/>
      <c r="L225" s="414"/>
      <c r="M225" s="415"/>
      <c r="N225" s="179"/>
      <c r="O225" s="416"/>
      <c r="P225" s="417"/>
      <c r="Q225" s="418"/>
      <c r="R225" s="419"/>
      <c r="S225" s="419"/>
      <c r="T225" s="180"/>
      <c r="U225" s="420">
        <f>Q225</f>
        <v>0</v>
      </c>
      <c r="V225" s="421"/>
      <c r="W225" s="181"/>
      <c r="X225" s="2"/>
      <c r="Y225" s="3"/>
    </row>
    <row r="226" spans="2:25">
      <c r="B226" s="8"/>
      <c r="C226" s="73" t="s">
        <v>261</v>
      </c>
      <c r="D226" s="37"/>
      <c r="E226" s="37"/>
      <c r="F226" s="37"/>
      <c r="G226" s="37"/>
      <c r="H226" s="37"/>
      <c r="I226" s="37"/>
      <c r="J226" s="37"/>
      <c r="K226" s="37"/>
      <c r="L226" s="414"/>
      <c r="M226" s="415"/>
      <c r="N226" s="422"/>
      <c r="O226" s="416"/>
      <c r="P226" s="417"/>
      <c r="Q226" s="418"/>
      <c r="R226" s="419"/>
      <c r="S226" s="419"/>
      <c r="T226" s="180"/>
      <c r="U226" s="420"/>
      <c r="V226" s="421"/>
      <c r="W226" s="181"/>
      <c r="X226" s="2"/>
      <c r="Y226" s="3"/>
    </row>
    <row r="227" spans="2:25">
      <c r="B227" s="8"/>
      <c r="C227" s="73" t="s">
        <v>262</v>
      </c>
      <c r="D227" s="103"/>
      <c r="E227" s="103"/>
      <c r="F227" s="103"/>
      <c r="G227" s="103"/>
      <c r="H227" s="103"/>
      <c r="I227" s="103"/>
      <c r="J227" s="103"/>
      <c r="K227" s="103"/>
      <c r="L227" s="442"/>
      <c r="M227" s="443"/>
      <c r="N227" s="182"/>
      <c r="O227" s="444"/>
      <c r="P227" s="445"/>
      <c r="Q227" s="418"/>
      <c r="R227" s="419"/>
      <c r="S227" s="419"/>
      <c r="T227" s="180"/>
      <c r="U227" s="446"/>
      <c r="V227" s="447"/>
      <c r="W227" s="183"/>
      <c r="X227" s="2"/>
      <c r="Y227" s="3"/>
    </row>
    <row r="228" spans="2:25">
      <c r="B228" s="8"/>
      <c r="C228" s="90" t="s">
        <v>263</v>
      </c>
      <c r="D228" s="14"/>
      <c r="E228" s="14"/>
      <c r="F228" s="14"/>
      <c r="G228" s="14"/>
      <c r="H228" s="14"/>
      <c r="I228" s="14"/>
      <c r="J228" s="14"/>
      <c r="K228" s="14"/>
      <c r="L228" s="430"/>
      <c r="M228" s="431"/>
      <c r="N228" s="432"/>
      <c r="O228" s="433"/>
      <c r="P228" s="434"/>
      <c r="Q228" s="435">
        <f>SUM(Q229:S230)</f>
        <v>54000000</v>
      </c>
      <c r="R228" s="436"/>
      <c r="S228" s="436"/>
      <c r="T228" s="436"/>
      <c r="U228" s="437">
        <f>Q228</f>
        <v>54000000</v>
      </c>
      <c r="V228" s="437"/>
      <c r="W228" s="438"/>
      <c r="X228" s="2"/>
      <c r="Y228" s="3"/>
    </row>
    <row r="229" spans="2:25">
      <c r="B229" s="8"/>
      <c r="C229" s="73" t="s">
        <v>264</v>
      </c>
      <c r="D229" s="37"/>
      <c r="E229" s="37"/>
      <c r="F229" s="37"/>
      <c r="G229" s="37"/>
      <c r="H229" s="37"/>
      <c r="I229" s="37"/>
      <c r="J229" s="37"/>
      <c r="K229" s="37"/>
      <c r="L229" s="439">
        <v>46113</v>
      </c>
      <c r="M229" s="440"/>
      <c r="N229" s="441"/>
      <c r="O229" s="416">
        <v>6.7500000000000004E-2</v>
      </c>
      <c r="P229" s="417"/>
      <c r="Q229" s="418">
        <v>54000000</v>
      </c>
      <c r="R229" s="419"/>
      <c r="S229" s="419"/>
      <c r="T229" s="180"/>
      <c r="U229" s="420">
        <f>Q229</f>
        <v>54000000</v>
      </c>
      <c r="V229" s="421"/>
      <c r="W229" s="181"/>
      <c r="X229" s="2"/>
      <c r="Y229" s="3"/>
    </row>
    <row r="230" spans="2:25">
      <c r="B230" s="8"/>
      <c r="C230" s="73" t="s">
        <v>265</v>
      </c>
      <c r="D230" s="103"/>
      <c r="E230" s="103"/>
      <c r="F230" s="103"/>
      <c r="G230" s="103"/>
      <c r="H230" s="103"/>
      <c r="I230" s="103"/>
      <c r="J230" s="103"/>
      <c r="K230" s="103"/>
      <c r="L230" s="442"/>
      <c r="M230" s="443"/>
      <c r="N230" s="182"/>
      <c r="O230" s="444"/>
      <c r="P230" s="445"/>
      <c r="Q230" s="418"/>
      <c r="R230" s="419"/>
      <c r="S230" s="419"/>
      <c r="T230" s="180"/>
      <c r="U230" s="446"/>
      <c r="V230" s="447"/>
      <c r="W230" s="183"/>
      <c r="X230" s="2"/>
      <c r="Y230" s="3"/>
    </row>
    <row r="231" spans="2:25">
      <c r="B231" s="8"/>
      <c r="C231" s="90" t="s">
        <v>266</v>
      </c>
      <c r="D231" s="14"/>
      <c r="E231" s="410"/>
      <c r="F231" s="410"/>
      <c r="G231" s="184"/>
      <c r="H231" s="184"/>
      <c r="I231" s="184"/>
      <c r="J231" s="184"/>
      <c r="K231" s="184"/>
      <c r="L231" s="185"/>
      <c r="M231" s="185"/>
      <c r="N231" s="185"/>
      <c r="O231" s="184"/>
      <c r="P231" s="186"/>
      <c r="Q231" s="428">
        <f>U223+U224-U228</f>
        <v>99651392.352718234</v>
      </c>
      <c r="R231" s="428"/>
      <c r="S231" s="428"/>
      <c r="T231" s="428"/>
      <c r="U231" s="450"/>
      <c r="V231" s="450"/>
      <c r="W231" s="451"/>
      <c r="X231" s="70"/>
      <c r="Y231" s="71"/>
    </row>
    <row r="232" spans="2:25">
      <c r="B232" s="8"/>
      <c r="C232" s="110" t="s">
        <v>267</v>
      </c>
      <c r="D232" s="187"/>
      <c r="E232" s="187"/>
      <c r="F232" s="187"/>
      <c r="G232" s="187"/>
      <c r="H232" s="187"/>
      <c r="I232" s="187"/>
      <c r="J232" s="187"/>
      <c r="K232" s="187"/>
      <c r="L232" s="187"/>
      <c r="M232" s="187"/>
      <c r="N232" s="187"/>
      <c r="O232" s="187"/>
      <c r="P232" s="188"/>
      <c r="Q232" s="428">
        <f>(U223-U228)*(O229+P221)*(K15-L229)/365</f>
        <v>2012139.072985023</v>
      </c>
      <c r="R232" s="428"/>
      <c r="S232" s="428"/>
      <c r="T232" s="428"/>
      <c r="U232" s="428"/>
      <c r="V232" s="428"/>
      <c r="W232" s="429"/>
      <c r="X232" s="2"/>
      <c r="Y232" s="3"/>
    </row>
    <row r="233" spans="2:25">
      <c r="B233" s="8"/>
      <c r="C233" s="110" t="s">
        <v>268</v>
      </c>
      <c r="D233" s="187"/>
      <c r="E233" s="187"/>
      <c r="F233" s="187"/>
      <c r="G233" s="187"/>
      <c r="H233" s="187"/>
      <c r="I233" s="187"/>
      <c r="J233" s="187"/>
      <c r="K233" s="187"/>
      <c r="L233" s="187"/>
      <c r="M233" s="187"/>
      <c r="N233" s="187"/>
      <c r="O233" s="187"/>
      <c r="P233" s="188"/>
      <c r="Q233" s="428">
        <v>0</v>
      </c>
      <c r="R233" s="428"/>
      <c r="S233" s="428"/>
      <c r="T233" s="428"/>
      <c r="U233" s="428"/>
      <c r="V233" s="428"/>
      <c r="W233" s="429"/>
      <c r="X233" s="2"/>
      <c r="Y233" s="3"/>
    </row>
    <row r="234" spans="2:25">
      <c r="B234" s="8"/>
      <c r="C234" s="130" t="s">
        <v>269</v>
      </c>
      <c r="D234" s="167"/>
      <c r="E234" s="167"/>
      <c r="F234" s="167"/>
      <c r="G234" s="167"/>
      <c r="H234" s="167"/>
      <c r="I234" s="167"/>
      <c r="J234" s="167"/>
      <c r="K234" s="167"/>
      <c r="L234" s="167"/>
      <c r="M234" s="167"/>
      <c r="N234" s="167"/>
      <c r="O234" s="167"/>
      <c r="P234" s="168"/>
      <c r="Q234" s="428">
        <f>T196</f>
        <v>2012139.072985023</v>
      </c>
      <c r="R234" s="428"/>
      <c r="S234" s="428"/>
      <c r="T234" s="428"/>
      <c r="U234" s="428"/>
      <c r="V234" s="428"/>
      <c r="W234" s="429"/>
      <c r="X234" s="2"/>
      <c r="Y234" s="3"/>
    </row>
    <row r="235" spans="2:25">
      <c r="B235" s="8"/>
      <c r="C235" s="130" t="s">
        <v>270</v>
      </c>
      <c r="D235" s="167"/>
      <c r="E235" s="167"/>
      <c r="F235" s="167"/>
      <c r="G235" s="167"/>
      <c r="H235" s="167"/>
      <c r="I235" s="167"/>
      <c r="J235" s="167"/>
      <c r="K235" s="167"/>
      <c r="L235" s="167"/>
      <c r="M235" s="167"/>
      <c r="N235" s="167"/>
      <c r="O235" s="167"/>
      <c r="P235" s="168"/>
      <c r="Q235" s="428">
        <f>Q232-Q234</f>
        <v>0</v>
      </c>
      <c r="R235" s="428"/>
      <c r="S235" s="428"/>
      <c r="T235" s="428"/>
      <c r="U235" s="428"/>
      <c r="V235" s="428"/>
      <c r="W235" s="429"/>
      <c r="X235" s="2"/>
      <c r="Y235" s="3"/>
    </row>
    <row r="236" spans="2:25">
      <c r="B236" s="8"/>
      <c r="C236" s="130" t="s">
        <v>271</v>
      </c>
      <c r="D236" s="167"/>
      <c r="E236" s="167"/>
      <c r="F236" s="167"/>
      <c r="G236" s="167"/>
      <c r="H236" s="167"/>
      <c r="I236" s="167"/>
      <c r="J236" s="167"/>
      <c r="K236" s="167"/>
      <c r="L236" s="167"/>
      <c r="M236" s="167"/>
      <c r="N236" s="167"/>
      <c r="O236" s="167"/>
      <c r="P236" s="168"/>
      <c r="Q236" s="428">
        <f>L197</f>
        <v>0</v>
      </c>
      <c r="R236" s="428"/>
      <c r="S236" s="428"/>
      <c r="T236" s="428"/>
      <c r="U236" s="428"/>
      <c r="V236" s="428"/>
      <c r="W236" s="429"/>
      <c r="X236" s="2"/>
      <c r="Y236" s="3"/>
    </row>
    <row r="237" spans="2:25">
      <c r="B237" s="8"/>
      <c r="C237" s="130" t="s">
        <v>272</v>
      </c>
      <c r="D237" s="167"/>
      <c r="E237" s="167"/>
      <c r="F237" s="167"/>
      <c r="G237" s="167"/>
      <c r="H237" s="167"/>
      <c r="I237" s="167"/>
      <c r="J237" s="167"/>
      <c r="K237" s="167"/>
      <c r="L237" s="167"/>
      <c r="M237" s="167"/>
      <c r="N237" s="167"/>
      <c r="O237" s="167"/>
      <c r="P237" s="168"/>
      <c r="Q237" s="428">
        <v>0</v>
      </c>
      <c r="R237" s="428"/>
      <c r="S237" s="428"/>
      <c r="T237" s="428"/>
      <c r="U237" s="428"/>
      <c r="V237" s="428"/>
      <c r="W237" s="429"/>
      <c r="X237" s="2"/>
      <c r="Y237" s="3"/>
    </row>
    <row r="238" spans="2:25" ht="15" thickBot="1">
      <c r="B238" s="8"/>
      <c r="C238" s="132" t="s">
        <v>273</v>
      </c>
      <c r="D238" s="189"/>
      <c r="E238" s="189"/>
      <c r="F238" s="189"/>
      <c r="G238" s="189"/>
      <c r="H238" s="189"/>
      <c r="I238" s="189"/>
      <c r="J238" s="189"/>
      <c r="K238" s="189"/>
      <c r="L238" s="189"/>
      <c r="M238" s="189"/>
      <c r="N238" s="189"/>
      <c r="O238" s="189"/>
      <c r="P238" s="190"/>
      <c r="Q238" s="448">
        <f>Q231+Q235-Q236</f>
        <v>99651392.352718234</v>
      </c>
      <c r="R238" s="448"/>
      <c r="S238" s="448"/>
      <c r="T238" s="448"/>
      <c r="U238" s="448"/>
      <c r="V238" s="448"/>
      <c r="W238" s="449"/>
      <c r="X238" s="2"/>
      <c r="Y238" s="3"/>
    </row>
    <row r="239" spans="2:25" ht="15" thickBot="1">
      <c r="B239" s="191"/>
      <c r="C239" s="192"/>
      <c r="D239" s="193"/>
      <c r="E239" s="193"/>
      <c r="F239" s="193"/>
      <c r="G239" s="193"/>
      <c r="H239" s="193"/>
      <c r="I239" s="193"/>
      <c r="J239" s="193"/>
      <c r="K239" s="193"/>
      <c r="L239" s="193"/>
      <c r="M239" s="193"/>
      <c r="N239" s="193"/>
      <c r="O239" s="193"/>
      <c r="P239" s="193"/>
      <c r="Q239" s="193"/>
      <c r="R239" s="193"/>
      <c r="S239" s="193"/>
      <c r="T239" s="193"/>
      <c r="U239" s="193"/>
      <c r="V239" s="193"/>
      <c r="W239" s="194"/>
      <c r="X239" s="2"/>
      <c r="Y239" s="3"/>
    </row>
  </sheetData>
  <mergeCells count="326">
    <mergeCell ref="Q236:W236"/>
    <mergeCell ref="Q237:W237"/>
    <mergeCell ref="Q238:W238"/>
    <mergeCell ref="E231:F231"/>
    <mergeCell ref="Q231:W231"/>
    <mergeCell ref="Q232:W232"/>
    <mergeCell ref="Q233:W233"/>
    <mergeCell ref="Q234:W234"/>
    <mergeCell ref="Q235:W235"/>
    <mergeCell ref="L229:N229"/>
    <mergeCell ref="O229:P229"/>
    <mergeCell ref="Q229:S229"/>
    <mergeCell ref="U229:V229"/>
    <mergeCell ref="L230:M230"/>
    <mergeCell ref="O230:P230"/>
    <mergeCell ref="Q230:S230"/>
    <mergeCell ref="U230:V230"/>
    <mergeCell ref="L227:M227"/>
    <mergeCell ref="O227:P227"/>
    <mergeCell ref="Q227:S227"/>
    <mergeCell ref="U227:V227"/>
    <mergeCell ref="L228:N228"/>
    <mergeCell ref="O228:P228"/>
    <mergeCell ref="Q228:T228"/>
    <mergeCell ref="U228:W228"/>
    <mergeCell ref="L225:M225"/>
    <mergeCell ref="O225:P225"/>
    <mergeCell ref="Q225:S225"/>
    <mergeCell ref="U225:V225"/>
    <mergeCell ref="L226:N226"/>
    <mergeCell ref="O226:P226"/>
    <mergeCell ref="Q226:S226"/>
    <mergeCell ref="U226:V226"/>
    <mergeCell ref="L223:N223"/>
    <mergeCell ref="O223:P223"/>
    <mergeCell ref="Q223:T223"/>
    <mergeCell ref="U223:W223"/>
    <mergeCell ref="L224:N224"/>
    <mergeCell ref="O224:P224"/>
    <mergeCell ref="Q224:T224"/>
    <mergeCell ref="U224:W224"/>
    <mergeCell ref="Q216:W216"/>
    <mergeCell ref="Q217:W217"/>
    <mergeCell ref="Q218:W218"/>
    <mergeCell ref="C220:W220"/>
    <mergeCell ref="P221:W221"/>
    <mergeCell ref="L222:N222"/>
    <mergeCell ref="O222:P222"/>
    <mergeCell ref="Q222:T222"/>
    <mergeCell ref="U222:W222"/>
    <mergeCell ref="Q209:W209"/>
    <mergeCell ref="C211:W211"/>
    <mergeCell ref="Q212:W212"/>
    <mergeCell ref="Q213:W213"/>
    <mergeCell ref="Q214:W214"/>
    <mergeCell ref="Q215:W215"/>
    <mergeCell ref="C203:W203"/>
    <mergeCell ref="Q204:W204"/>
    <mergeCell ref="Q205:W205"/>
    <mergeCell ref="Q206:W206"/>
    <mergeCell ref="Q207:W207"/>
    <mergeCell ref="Q208:W208"/>
    <mergeCell ref="L200:O200"/>
    <mergeCell ref="P200:S200"/>
    <mergeCell ref="T200:W200"/>
    <mergeCell ref="L201:O201"/>
    <mergeCell ref="P201:S201"/>
    <mergeCell ref="T201:W201"/>
    <mergeCell ref="L198:M198"/>
    <mergeCell ref="P198:Q198"/>
    <mergeCell ref="T198:U198"/>
    <mergeCell ref="L199:O199"/>
    <mergeCell ref="P199:S199"/>
    <mergeCell ref="T199:W199"/>
    <mergeCell ref="L196:M196"/>
    <mergeCell ref="P196:Q196"/>
    <mergeCell ref="T196:U196"/>
    <mergeCell ref="L197:M197"/>
    <mergeCell ref="P197:Q197"/>
    <mergeCell ref="T197:U197"/>
    <mergeCell ref="L194:O194"/>
    <mergeCell ref="P194:S194"/>
    <mergeCell ref="T194:W194"/>
    <mergeCell ref="L195:O195"/>
    <mergeCell ref="P195:S195"/>
    <mergeCell ref="T195:W195"/>
    <mergeCell ref="L192:O192"/>
    <mergeCell ref="P192:S192"/>
    <mergeCell ref="T192:W192"/>
    <mergeCell ref="L193:O193"/>
    <mergeCell ref="P193:S193"/>
    <mergeCell ref="T193:W193"/>
    <mergeCell ref="L190:O190"/>
    <mergeCell ref="P190:S190"/>
    <mergeCell ref="T190:W190"/>
    <mergeCell ref="L191:M191"/>
    <mergeCell ref="P191:Q191"/>
    <mergeCell ref="T191:U191"/>
    <mergeCell ref="L188:M188"/>
    <mergeCell ref="P188:Q188"/>
    <mergeCell ref="T188:U188"/>
    <mergeCell ref="L189:O189"/>
    <mergeCell ref="P189:S189"/>
    <mergeCell ref="T189:W189"/>
    <mergeCell ref="L186:O186"/>
    <mergeCell ref="P186:S186"/>
    <mergeCell ref="T186:W186"/>
    <mergeCell ref="L187:M187"/>
    <mergeCell ref="P187:Q187"/>
    <mergeCell ref="T187:U187"/>
    <mergeCell ref="L184:O184"/>
    <mergeCell ref="P184:S184"/>
    <mergeCell ref="T184:W184"/>
    <mergeCell ref="L185:O185"/>
    <mergeCell ref="P185:S185"/>
    <mergeCell ref="T185:W185"/>
    <mergeCell ref="L182:M182"/>
    <mergeCell ref="P182:Q182"/>
    <mergeCell ref="T182:U182"/>
    <mergeCell ref="L183:M183"/>
    <mergeCell ref="P183:Q183"/>
    <mergeCell ref="T183:U183"/>
    <mergeCell ref="L180:O180"/>
    <mergeCell ref="P180:S180"/>
    <mergeCell ref="T180:W180"/>
    <mergeCell ref="L181:O181"/>
    <mergeCell ref="P181:S181"/>
    <mergeCell ref="T181:W181"/>
    <mergeCell ref="L178:M178"/>
    <mergeCell ref="P178:Q178"/>
    <mergeCell ref="T178:U178"/>
    <mergeCell ref="L179:O179"/>
    <mergeCell ref="P179:S179"/>
    <mergeCell ref="T179:W179"/>
    <mergeCell ref="L176:M176"/>
    <mergeCell ref="P176:Q176"/>
    <mergeCell ref="T176:U176"/>
    <mergeCell ref="L177:M177"/>
    <mergeCell ref="P177:Q177"/>
    <mergeCell ref="T177:U177"/>
    <mergeCell ref="L174:N174"/>
    <mergeCell ref="P174:Q174"/>
    <mergeCell ref="T174:U174"/>
    <mergeCell ref="L175:M175"/>
    <mergeCell ref="P175:Q175"/>
    <mergeCell ref="T175:U175"/>
    <mergeCell ref="L172:O172"/>
    <mergeCell ref="P172:S172"/>
    <mergeCell ref="T172:W172"/>
    <mergeCell ref="L173:O173"/>
    <mergeCell ref="P173:S173"/>
    <mergeCell ref="T173:W173"/>
    <mergeCell ref="L170:O170"/>
    <mergeCell ref="P170:S170"/>
    <mergeCell ref="T170:W170"/>
    <mergeCell ref="L171:O171"/>
    <mergeCell ref="P171:S171"/>
    <mergeCell ref="T171:W171"/>
    <mergeCell ref="L168:O168"/>
    <mergeCell ref="P168:S168"/>
    <mergeCell ref="T168:W168"/>
    <mergeCell ref="L169:O169"/>
    <mergeCell ref="P169:S169"/>
    <mergeCell ref="T169:W169"/>
    <mergeCell ref="L166:O166"/>
    <mergeCell ref="P166:S166"/>
    <mergeCell ref="T166:W166"/>
    <mergeCell ref="L167:O167"/>
    <mergeCell ref="P167:S167"/>
    <mergeCell ref="T167:W167"/>
    <mergeCell ref="L164:O164"/>
    <mergeCell ref="P164:S164"/>
    <mergeCell ref="T164:W164"/>
    <mergeCell ref="L165:M165"/>
    <mergeCell ref="P165:Q165"/>
    <mergeCell ref="T165:U165"/>
    <mergeCell ref="L162:O162"/>
    <mergeCell ref="P162:S162"/>
    <mergeCell ref="T162:W162"/>
    <mergeCell ref="L163:O163"/>
    <mergeCell ref="P163:S163"/>
    <mergeCell ref="T163:W163"/>
    <mergeCell ref="L160:M160"/>
    <mergeCell ref="P160:Q160"/>
    <mergeCell ref="T160:U160"/>
    <mergeCell ref="L161:M161"/>
    <mergeCell ref="P161:Q161"/>
    <mergeCell ref="T161:U161"/>
    <mergeCell ref="L158:O158"/>
    <mergeCell ref="P158:S158"/>
    <mergeCell ref="T158:W158"/>
    <mergeCell ref="L159:M159"/>
    <mergeCell ref="P159:Q159"/>
    <mergeCell ref="T159:U159"/>
    <mergeCell ref="L156:M156"/>
    <mergeCell ref="P156:Q156"/>
    <mergeCell ref="T156:U156"/>
    <mergeCell ref="L157:M157"/>
    <mergeCell ref="P157:Q157"/>
    <mergeCell ref="T157:U157"/>
    <mergeCell ref="L154:M154"/>
    <mergeCell ref="P154:Q154"/>
    <mergeCell ref="T154:U154"/>
    <mergeCell ref="L155:O155"/>
    <mergeCell ref="P155:S155"/>
    <mergeCell ref="T155:W155"/>
    <mergeCell ref="L152:O152"/>
    <mergeCell ref="P152:S152"/>
    <mergeCell ref="T152:W152"/>
    <mergeCell ref="L153:M153"/>
    <mergeCell ref="P153:Q153"/>
    <mergeCell ref="T153:U153"/>
    <mergeCell ref="C149:W149"/>
    <mergeCell ref="C150:K150"/>
    <mergeCell ref="L150:O150"/>
    <mergeCell ref="P150:S150"/>
    <mergeCell ref="T150:W150"/>
    <mergeCell ref="L151:O151"/>
    <mergeCell ref="P151:S151"/>
    <mergeCell ref="T151:W151"/>
    <mergeCell ref="T142:U142"/>
    <mergeCell ref="T143:U143"/>
    <mergeCell ref="T144:U144"/>
    <mergeCell ref="T145:U145"/>
    <mergeCell ref="T146:W146"/>
    <mergeCell ref="T147:W147"/>
    <mergeCell ref="T136:U136"/>
    <mergeCell ref="T137:W137"/>
    <mergeCell ref="T138:U138"/>
    <mergeCell ref="T139:U139"/>
    <mergeCell ref="T140:U140"/>
    <mergeCell ref="T141:U141"/>
    <mergeCell ref="T130:U130"/>
    <mergeCell ref="T131:U131"/>
    <mergeCell ref="T132:U132"/>
    <mergeCell ref="T133:U133"/>
    <mergeCell ref="T134:U134"/>
    <mergeCell ref="T135:U135"/>
    <mergeCell ref="C124:W124"/>
    <mergeCell ref="T125:U125"/>
    <mergeCell ref="T126:U126"/>
    <mergeCell ref="T127:U127"/>
    <mergeCell ref="T128:W128"/>
    <mergeCell ref="T129:U129"/>
    <mergeCell ref="L121:N121"/>
    <mergeCell ref="O121:Q121"/>
    <mergeCell ref="R121:T121"/>
    <mergeCell ref="U121:W121"/>
    <mergeCell ref="L122:N122"/>
    <mergeCell ref="O122:Q122"/>
    <mergeCell ref="R122:T122"/>
    <mergeCell ref="U122:W122"/>
    <mergeCell ref="T116:W116"/>
    <mergeCell ref="T117:W117"/>
    <mergeCell ref="C119:W119"/>
    <mergeCell ref="L120:N120"/>
    <mergeCell ref="O120:Q120"/>
    <mergeCell ref="R120:T120"/>
    <mergeCell ref="U120:W120"/>
    <mergeCell ref="T109:U109"/>
    <mergeCell ref="T110:U110"/>
    <mergeCell ref="T111:U111"/>
    <mergeCell ref="T112:U112"/>
    <mergeCell ref="C114:W114"/>
    <mergeCell ref="T115:W115"/>
    <mergeCell ref="T102:U102"/>
    <mergeCell ref="T103:U103"/>
    <mergeCell ref="C105:W105"/>
    <mergeCell ref="T106:W106"/>
    <mergeCell ref="T107:U107"/>
    <mergeCell ref="T108:U108"/>
    <mergeCell ref="T96:U96"/>
    <mergeCell ref="T97:U97"/>
    <mergeCell ref="C98:W98"/>
    <mergeCell ref="T99:W99"/>
    <mergeCell ref="T100:U100"/>
    <mergeCell ref="T101:U101"/>
    <mergeCell ref="T87:W87"/>
    <mergeCell ref="T88:U88"/>
    <mergeCell ref="T89:U89"/>
    <mergeCell ref="T90:U90"/>
    <mergeCell ref="T94:U94"/>
    <mergeCell ref="T95:U95"/>
    <mergeCell ref="T79:U79"/>
    <mergeCell ref="T82:U82"/>
    <mergeCell ref="T83:U83"/>
    <mergeCell ref="T84:U84"/>
    <mergeCell ref="T85:W85"/>
    <mergeCell ref="C86:W86"/>
    <mergeCell ref="T69:U69"/>
    <mergeCell ref="T70:W70"/>
    <mergeCell ref="T71:U71"/>
    <mergeCell ref="T72:U72"/>
    <mergeCell ref="T73:U73"/>
    <mergeCell ref="T76:U76"/>
    <mergeCell ref="C63:W63"/>
    <mergeCell ref="T64:W64"/>
    <mergeCell ref="T65:U65"/>
    <mergeCell ref="T66:U66"/>
    <mergeCell ref="T67:W67"/>
    <mergeCell ref="T68:U68"/>
    <mergeCell ref="T57:W57"/>
    <mergeCell ref="T58:W58"/>
    <mergeCell ref="T59:W59"/>
    <mergeCell ref="T60:U60"/>
    <mergeCell ref="T61:U61"/>
    <mergeCell ref="T62:U62"/>
    <mergeCell ref="K19:W19"/>
    <mergeCell ref="K20:W20"/>
    <mergeCell ref="C55:W55"/>
    <mergeCell ref="C56:W56"/>
    <mergeCell ref="K12:W12"/>
    <mergeCell ref="K13:W13"/>
    <mergeCell ref="C14:E15"/>
    <mergeCell ref="K14:W14"/>
    <mergeCell ref="K15:W15"/>
    <mergeCell ref="K16:W16"/>
    <mergeCell ref="C3:W4"/>
    <mergeCell ref="C6:W6"/>
    <mergeCell ref="K8:W8"/>
    <mergeCell ref="K9:W9"/>
    <mergeCell ref="C10:E11"/>
    <mergeCell ref="K10:W10"/>
    <mergeCell ref="K11:W11"/>
    <mergeCell ref="K17:W17"/>
    <mergeCell ref="K18:W18"/>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10819-E8D8-4B63-A8BE-B5B5B0B3FD3D}">
  <dimension ref="B1:O201"/>
  <sheetViews>
    <sheetView showGridLines="0" view="pageBreakPreview" zoomScale="90" zoomScaleNormal="90" zoomScaleSheetLayoutView="90" workbookViewId="0">
      <selection activeCell="C3" sqref="C3:N4"/>
    </sheetView>
  </sheetViews>
  <sheetFormatPr defaultColWidth="9.33203125" defaultRowHeight="14.4"/>
  <cols>
    <col min="1" max="1" width="9.33203125" style="1"/>
    <col min="2" max="2" width="3.44140625" style="1" customWidth="1"/>
    <col min="3" max="3" width="37.6640625" style="1" customWidth="1"/>
    <col min="4" max="6" width="9.33203125" style="1"/>
    <col min="7" max="7" width="13.6640625" style="1" bestFit="1" customWidth="1"/>
    <col min="8" max="13" width="9.33203125" style="1"/>
    <col min="14" max="14" width="10.44140625" style="1" customWidth="1"/>
    <col min="15" max="16384" width="9.33203125" style="1"/>
  </cols>
  <sheetData>
    <row r="1" spans="2:14" ht="15" thickBot="1"/>
    <row r="2" spans="2:14" ht="15" thickBot="1">
      <c r="B2" s="4"/>
      <c r="C2" s="5"/>
      <c r="D2" s="5"/>
      <c r="E2" s="5"/>
      <c r="F2" s="5"/>
      <c r="G2" s="5"/>
      <c r="H2" s="5"/>
      <c r="I2" s="5"/>
      <c r="J2" s="5"/>
      <c r="K2" s="5"/>
      <c r="L2" s="5"/>
      <c r="M2" s="5"/>
      <c r="N2" s="5"/>
    </row>
    <row r="3" spans="2:14" ht="20.25" customHeight="1">
      <c r="B3" s="8"/>
      <c r="C3" s="240" t="s">
        <v>0</v>
      </c>
      <c r="D3" s="452"/>
      <c r="E3" s="452"/>
      <c r="F3" s="452"/>
      <c r="G3" s="452"/>
      <c r="H3" s="452"/>
      <c r="I3" s="452"/>
      <c r="J3" s="452"/>
      <c r="K3" s="452"/>
      <c r="L3" s="452"/>
      <c r="M3" s="452"/>
      <c r="N3" s="453"/>
    </row>
    <row r="4" spans="2:14" ht="20.25" customHeight="1" thickBot="1">
      <c r="B4" s="8"/>
      <c r="C4" s="454"/>
      <c r="D4" s="455"/>
      <c r="E4" s="455"/>
      <c r="F4" s="455"/>
      <c r="G4" s="455"/>
      <c r="H4" s="455"/>
      <c r="I4" s="455"/>
      <c r="J4" s="455"/>
      <c r="K4" s="455"/>
      <c r="L4" s="455"/>
      <c r="M4" s="455"/>
      <c r="N4" s="456"/>
    </row>
    <row r="5" spans="2:14" ht="15" thickBot="1">
      <c r="B5" s="8"/>
      <c r="C5" s="3"/>
      <c r="D5" s="3"/>
      <c r="E5" s="3"/>
      <c r="F5" s="3"/>
      <c r="G5" s="3"/>
      <c r="H5" s="3"/>
      <c r="I5" s="3"/>
      <c r="J5" s="3"/>
      <c r="K5" s="3"/>
      <c r="L5" s="3"/>
      <c r="M5" s="3"/>
      <c r="N5" s="3"/>
    </row>
    <row r="6" spans="2:14" ht="15" thickBot="1">
      <c r="B6" s="8"/>
      <c r="C6" s="246" t="s">
        <v>274</v>
      </c>
      <c r="D6" s="247"/>
      <c r="E6" s="247"/>
      <c r="F6" s="247"/>
      <c r="G6" s="247"/>
      <c r="H6" s="247"/>
      <c r="I6" s="247"/>
      <c r="J6" s="247"/>
      <c r="K6" s="247"/>
      <c r="L6" s="247"/>
      <c r="M6" s="247"/>
      <c r="N6" s="248"/>
    </row>
    <row r="7" spans="2:14" ht="15" thickBot="1">
      <c r="B7" s="8"/>
      <c r="C7" s="3"/>
      <c r="D7" s="3"/>
      <c r="E7" s="3"/>
      <c r="F7" s="3"/>
      <c r="G7" s="3"/>
      <c r="H7" s="3"/>
      <c r="I7" s="3"/>
      <c r="J7" s="3"/>
      <c r="K7" s="3"/>
      <c r="L7" s="3"/>
      <c r="M7" s="3"/>
      <c r="N7" s="3"/>
    </row>
    <row r="8" spans="2:14">
      <c r="B8" s="8"/>
      <c r="C8" s="10" t="s">
        <v>275</v>
      </c>
      <c r="D8" s="11"/>
      <c r="E8" s="11"/>
      <c r="F8" s="11"/>
      <c r="G8" s="11"/>
      <c r="H8" s="11"/>
      <c r="I8" s="195"/>
      <c r="J8" s="457">
        <v>46152</v>
      </c>
      <c r="K8" s="457"/>
      <c r="L8" s="457"/>
      <c r="M8" s="457"/>
      <c r="N8" s="458"/>
    </row>
    <row r="9" spans="2:14">
      <c r="B9" s="8"/>
      <c r="C9" s="12" t="s">
        <v>276</v>
      </c>
      <c r="D9" s="13"/>
      <c r="E9" s="13"/>
      <c r="F9" s="13"/>
      <c r="G9" s="13"/>
      <c r="H9" s="13"/>
      <c r="I9" s="129"/>
      <c r="J9" s="253">
        <v>46142</v>
      </c>
      <c r="K9" s="253"/>
      <c r="L9" s="253"/>
      <c r="M9" s="253"/>
      <c r="N9" s="254"/>
    </row>
    <row r="10" spans="2:14">
      <c r="B10" s="8"/>
      <c r="C10" s="255" t="s">
        <v>4</v>
      </c>
      <c r="D10" s="256"/>
      <c r="E10" s="257"/>
      <c r="F10" s="16" t="s">
        <v>277</v>
      </c>
      <c r="G10" s="13"/>
      <c r="H10" s="13"/>
      <c r="I10" s="129"/>
      <c r="J10" s="253">
        <v>46053</v>
      </c>
      <c r="K10" s="253"/>
      <c r="L10" s="253"/>
      <c r="M10" s="253"/>
      <c r="N10" s="254"/>
    </row>
    <row r="11" spans="2:14">
      <c r="B11" s="8"/>
      <c r="C11" s="258"/>
      <c r="D11" s="259"/>
      <c r="E11" s="459"/>
      <c r="F11" s="19" t="s">
        <v>278</v>
      </c>
      <c r="G11" s="13"/>
      <c r="H11" s="13"/>
      <c r="I11" s="129"/>
      <c r="J11" s="253">
        <f>J9</f>
        <v>46142</v>
      </c>
      <c r="K11" s="253"/>
      <c r="L11" s="253"/>
      <c r="M11" s="253"/>
      <c r="N11" s="254"/>
    </row>
    <row r="12" spans="2:14">
      <c r="B12" s="8"/>
      <c r="C12" s="196" t="s">
        <v>279</v>
      </c>
      <c r="D12" s="20"/>
      <c r="E12" s="15"/>
      <c r="F12" s="22"/>
      <c r="G12" s="13"/>
      <c r="H12" s="13"/>
      <c r="I12" s="129"/>
      <c r="J12" s="470">
        <f>J11-J10</f>
        <v>89</v>
      </c>
      <c r="K12" s="470"/>
      <c r="L12" s="470"/>
      <c r="M12" s="470"/>
      <c r="N12" s="471"/>
    </row>
    <row r="13" spans="2:14">
      <c r="B13" s="8"/>
      <c r="C13" s="255" t="s">
        <v>280</v>
      </c>
      <c r="D13" s="256"/>
      <c r="E13" s="257"/>
      <c r="F13" s="16" t="s">
        <v>281</v>
      </c>
      <c r="G13" s="22"/>
      <c r="H13" s="22"/>
      <c r="I13" s="131"/>
      <c r="J13" s="472" t="s">
        <v>68</v>
      </c>
      <c r="K13" s="472"/>
      <c r="L13" s="472"/>
      <c r="M13" s="472"/>
      <c r="N13" s="473"/>
    </row>
    <row r="14" spans="2:14">
      <c r="B14" s="8"/>
      <c r="C14" s="258"/>
      <c r="D14" s="259"/>
      <c r="E14" s="260"/>
      <c r="F14" s="16" t="s">
        <v>282</v>
      </c>
      <c r="G14" s="22"/>
      <c r="H14" s="22"/>
      <c r="I14" s="131"/>
      <c r="J14" s="472" t="s">
        <v>68</v>
      </c>
      <c r="K14" s="472"/>
      <c r="L14" s="472"/>
      <c r="M14" s="472"/>
      <c r="N14" s="473"/>
    </row>
    <row r="15" spans="2:14">
      <c r="B15" s="8"/>
      <c r="C15" s="17" t="s">
        <v>283</v>
      </c>
      <c r="D15" s="18"/>
      <c r="E15" s="18"/>
      <c r="F15" s="22"/>
      <c r="G15" s="22"/>
      <c r="H15" s="22"/>
      <c r="I15" s="131"/>
      <c r="J15" s="253">
        <v>52366</v>
      </c>
      <c r="K15" s="253"/>
      <c r="L15" s="253"/>
      <c r="M15" s="253"/>
      <c r="N15" s="254"/>
    </row>
    <row r="16" spans="2:14">
      <c r="B16" s="8"/>
      <c r="C16" s="17" t="s">
        <v>284</v>
      </c>
      <c r="D16" s="18"/>
      <c r="E16" s="18"/>
      <c r="F16" s="22"/>
      <c r="G16" s="22"/>
      <c r="H16" s="22"/>
      <c r="I16" s="131"/>
      <c r="J16" s="474">
        <v>6.6669999999999993E-2</v>
      </c>
      <c r="K16" s="474"/>
      <c r="L16" s="474"/>
      <c r="M16" s="474"/>
      <c r="N16" s="475"/>
    </row>
    <row r="17" spans="2:14">
      <c r="B17" s="8"/>
      <c r="C17" s="255" t="s">
        <v>285</v>
      </c>
      <c r="D17" s="256"/>
      <c r="E17" s="257"/>
      <c r="F17" s="22" t="s">
        <v>286</v>
      </c>
      <c r="G17" s="22"/>
      <c r="H17" s="22"/>
      <c r="I17" s="131"/>
      <c r="J17" s="460">
        <v>46069</v>
      </c>
      <c r="K17" s="461"/>
      <c r="L17" s="461"/>
      <c r="M17" s="461"/>
      <c r="N17" s="462"/>
    </row>
    <row r="18" spans="2:14">
      <c r="B18" s="8"/>
      <c r="C18" s="258"/>
      <c r="D18" s="259"/>
      <c r="E18" s="260"/>
      <c r="F18" s="22" t="s">
        <v>287</v>
      </c>
      <c r="G18" s="22"/>
      <c r="H18" s="22"/>
      <c r="I18" s="131"/>
      <c r="J18" s="460">
        <v>46157</v>
      </c>
      <c r="K18" s="461"/>
      <c r="L18" s="461"/>
      <c r="M18" s="461"/>
      <c r="N18" s="462"/>
    </row>
    <row r="19" spans="2:14">
      <c r="B19" s="8"/>
      <c r="C19" s="23" t="s">
        <v>288</v>
      </c>
      <c r="D19" s="22"/>
      <c r="E19" s="22"/>
      <c r="F19" s="22"/>
      <c r="G19" s="22"/>
      <c r="H19" s="22"/>
      <c r="I19" s="131"/>
      <c r="J19" s="463" t="s">
        <v>289</v>
      </c>
      <c r="K19" s="463"/>
      <c r="L19" s="463"/>
      <c r="M19" s="463"/>
      <c r="N19" s="464"/>
    </row>
    <row r="20" spans="2:14" ht="15" thickBot="1">
      <c r="B20" s="8"/>
      <c r="C20" s="84" t="s">
        <v>290</v>
      </c>
      <c r="D20" s="29"/>
      <c r="E20" s="29"/>
      <c r="F20" s="29"/>
      <c r="G20" s="29"/>
      <c r="H20" s="29"/>
      <c r="I20" s="29"/>
      <c r="J20" s="465" t="s">
        <v>291</v>
      </c>
      <c r="K20" s="465"/>
      <c r="L20" s="465"/>
      <c r="M20" s="465"/>
      <c r="N20" s="466"/>
    </row>
    <row r="21" spans="2:14" ht="15" thickBot="1">
      <c r="B21" s="8"/>
      <c r="C21" s="8"/>
      <c r="D21" s="3"/>
      <c r="E21" s="3"/>
      <c r="F21" s="3"/>
      <c r="G21" s="3"/>
      <c r="H21" s="3"/>
      <c r="I21" s="3"/>
      <c r="J21" s="3"/>
      <c r="K21" s="3"/>
      <c r="L21" s="3"/>
      <c r="M21" s="3"/>
      <c r="N21" s="2"/>
    </row>
    <row r="22" spans="2:14">
      <c r="B22" s="8"/>
      <c r="C22" s="467" t="s">
        <v>292</v>
      </c>
      <c r="D22" s="468"/>
      <c r="E22" s="468"/>
      <c r="F22" s="468"/>
      <c r="G22" s="468"/>
      <c r="H22" s="468"/>
      <c r="I22" s="468"/>
      <c r="J22" s="468"/>
      <c r="K22" s="468"/>
      <c r="L22" s="468"/>
      <c r="M22" s="468"/>
      <c r="N22" s="469"/>
    </row>
    <row r="23" spans="2:14">
      <c r="B23" s="8"/>
      <c r="C23" s="478" t="s">
        <v>293</v>
      </c>
      <c r="D23" s="479"/>
      <c r="E23" s="479"/>
      <c r="F23" s="479"/>
      <c r="G23" s="479"/>
      <c r="H23" s="479"/>
      <c r="I23" s="479"/>
      <c r="J23" s="479"/>
      <c r="K23" s="479"/>
      <c r="L23" s="479"/>
      <c r="M23" s="479"/>
      <c r="N23" s="480"/>
    </row>
    <row r="24" spans="2:14">
      <c r="B24" s="8"/>
      <c r="C24" s="110" t="s">
        <v>294</v>
      </c>
      <c r="D24" s="197"/>
      <c r="E24" s="197"/>
      <c r="F24" s="197"/>
      <c r="G24" s="197"/>
      <c r="H24" s="197"/>
      <c r="I24" s="198"/>
      <c r="J24" s="484">
        <v>1299693263.1615007</v>
      </c>
      <c r="K24" s="484"/>
      <c r="L24" s="484"/>
      <c r="M24" s="484"/>
      <c r="N24" s="485"/>
    </row>
    <row r="25" spans="2:14">
      <c r="B25" s="8"/>
      <c r="C25" s="478" t="s">
        <v>295</v>
      </c>
      <c r="D25" s="479"/>
      <c r="E25" s="479"/>
      <c r="F25" s="479"/>
      <c r="G25" s="479"/>
      <c r="H25" s="479"/>
      <c r="I25" s="479"/>
      <c r="J25" s="479"/>
      <c r="K25" s="479"/>
      <c r="L25" s="479"/>
      <c r="M25" s="479"/>
      <c r="N25" s="480"/>
    </row>
    <row r="26" spans="2:14">
      <c r="B26" s="8"/>
      <c r="C26" s="111" t="s">
        <v>296</v>
      </c>
      <c r="D26" s="199"/>
      <c r="E26" s="199"/>
      <c r="F26" s="199"/>
      <c r="G26" s="199"/>
      <c r="H26" s="199"/>
      <c r="I26" s="199"/>
      <c r="J26" s="481">
        <f>SUM(J27:M28)</f>
        <v>12472099.450000001</v>
      </c>
      <c r="K26" s="482"/>
      <c r="L26" s="482"/>
      <c r="M26" s="482"/>
      <c r="N26" s="483"/>
    </row>
    <row r="27" spans="2:14">
      <c r="B27" s="8"/>
      <c r="C27" s="200" t="s">
        <v>297</v>
      </c>
      <c r="D27" s="199"/>
      <c r="E27" s="199"/>
      <c r="F27" s="199"/>
      <c r="G27" s="199"/>
      <c r="H27" s="199"/>
      <c r="I27" s="199"/>
      <c r="J27" s="486">
        <v>0</v>
      </c>
      <c r="K27" s="487"/>
      <c r="L27" s="487"/>
      <c r="M27" s="487"/>
      <c r="N27" s="201"/>
    </row>
    <row r="28" spans="2:14">
      <c r="B28" s="8"/>
      <c r="C28" s="200" t="s">
        <v>298</v>
      </c>
      <c r="D28" s="199"/>
      <c r="E28" s="199"/>
      <c r="F28" s="199"/>
      <c r="G28" s="199"/>
      <c r="H28" s="199"/>
      <c r="I28" s="199"/>
      <c r="J28" s="486">
        <v>12472099.450000001</v>
      </c>
      <c r="K28" s="487"/>
      <c r="L28" s="487"/>
      <c r="M28" s="487"/>
      <c r="N28" s="201"/>
    </row>
    <row r="29" spans="2:14">
      <c r="B29" s="8"/>
      <c r="C29" s="111" t="s">
        <v>299</v>
      </c>
      <c r="D29" s="199"/>
      <c r="E29" s="199"/>
      <c r="F29" s="199"/>
      <c r="G29" s="199"/>
      <c r="H29" s="199"/>
      <c r="I29" s="199"/>
      <c r="J29" s="376">
        <f>SUM(J30:M31)</f>
        <v>2316508.733</v>
      </c>
      <c r="K29" s="377"/>
      <c r="L29" s="377"/>
      <c r="M29" s="377"/>
      <c r="N29" s="377"/>
    </row>
    <row r="30" spans="2:14">
      <c r="B30" s="8"/>
      <c r="C30" s="200" t="s">
        <v>300</v>
      </c>
      <c r="D30" s="199"/>
      <c r="E30" s="199"/>
      <c r="F30" s="199"/>
      <c r="G30" s="199"/>
      <c r="H30" s="199"/>
      <c r="I30" s="199"/>
      <c r="J30" s="376">
        <v>1974214.7599999998</v>
      </c>
      <c r="K30" s="377"/>
      <c r="L30" s="377"/>
      <c r="M30" s="377"/>
      <c r="N30" s="201"/>
    </row>
    <row r="31" spans="2:14" ht="13.2" customHeight="1">
      <c r="B31" s="8"/>
      <c r="C31" s="200" t="s">
        <v>301</v>
      </c>
      <c r="D31" s="199"/>
      <c r="E31" s="199"/>
      <c r="F31" s="199"/>
      <c r="G31" s="199"/>
      <c r="H31" s="199"/>
      <c r="I31" s="199"/>
      <c r="J31" s="476">
        <v>342293.973</v>
      </c>
      <c r="K31" s="477"/>
      <c r="L31" s="477"/>
      <c r="M31" s="477"/>
      <c r="N31" s="202"/>
    </row>
    <row r="32" spans="2:14">
      <c r="B32" s="8"/>
      <c r="C32" s="478" t="s">
        <v>302</v>
      </c>
      <c r="D32" s="479"/>
      <c r="E32" s="479"/>
      <c r="F32" s="479"/>
      <c r="G32" s="479"/>
      <c r="H32" s="479"/>
      <c r="I32" s="479"/>
      <c r="J32" s="479"/>
      <c r="K32" s="479"/>
      <c r="L32" s="479"/>
      <c r="M32" s="479"/>
      <c r="N32" s="480"/>
    </row>
    <row r="33" spans="2:14">
      <c r="B33" s="8"/>
      <c r="C33" s="110" t="s">
        <v>303</v>
      </c>
      <c r="D33" s="197"/>
      <c r="E33" s="197"/>
      <c r="F33" s="197"/>
      <c r="G33" s="197"/>
      <c r="H33" s="197"/>
      <c r="I33" s="197"/>
      <c r="J33" s="481">
        <f>SUM(J34:M36)</f>
        <v>55310499.779999994</v>
      </c>
      <c r="K33" s="482"/>
      <c r="L33" s="482"/>
      <c r="M33" s="482"/>
      <c r="N33" s="483"/>
    </row>
    <row r="34" spans="2:14">
      <c r="B34" s="8"/>
      <c r="C34" s="73" t="s">
        <v>304</v>
      </c>
      <c r="D34" s="199"/>
      <c r="E34" s="199"/>
      <c r="F34" s="199"/>
      <c r="G34" s="199"/>
      <c r="H34" s="199"/>
      <c r="I34" s="203"/>
      <c r="J34" s="376">
        <v>14536891.009999992</v>
      </c>
      <c r="K34" s="377"/>
      <c r="L34" s="377"/>
      <c r="M34" s="377"/>
      <c r="N34" s="201"/>
    </row>
    <row r="35" spans="2:14">
      <c r="B35" s="8"/>
      <c r="C35" s="73" t="s">
        <v>305</v>
      </c>
      <c r="D35" s="199"/>
      <c r="E35" s="199"/>
      <c r="F35" s="199"/>
      <c r="G35" s="199"/>
      <c r="H35" s="199"/>
      <c r="I35" s="203"/>
      <c r="J35" s="377">
        <v>40714900.120000005</v>
      </c>
      <c r="K35" s="377"/>
      <c r="L35" s="377"/>
      <c r="M35" s="377"/>
      <c r="N35" s="204"/>
    </row>
    <row r="36" spans="2:14">
      <c r="B36" s="8"/>
      <c r="C36" s="102" t="s">
        <v>306</v>
      </c>
      <c r="D36" s="205"/>
      <c r="E36" s="205"/>
      <c r="F36" s="205"/>
      <c r="G36" s="205"/>
      <c r="H36" s="205"/>
      <c r="I36" s="206"/>
      <c r="J36" s="377">
        <v>58708.649999999892</v>
      </c>
      <c r="K36" s="377"/>
      <c r="L36" s="377"/>
      <c r="M36" s="377"/>
      <c r="N36" s="204"/>
    </row>
    <row r="37" spans="2:14">
      <c r="B37" s="8"/>
      <c r="C37" s="478" t="s">
        <v>307</v>
      </c>
      <c r="D37" s="479"/>
      <c r="E37" s="479"/>
      <c r="F37" s="479"/>
      <c r="G37" s="479"/>
      <c r="H37" s="479"/>
      <c r="I37" s="479"/>
      <c r="J37" s="479"/>
      <c r="K37" s="479"/>
      <c r="L37" s="479"/>
      <c r="M37" s="479"/>
      <c r="N37" s="480"/>
    </row>
    <row r="38" spans="2:14">
      <c r="B38" s="8"/>
      <c r="C38" s="110" t="s">
        <v>308</v>
      </c>
      <c r="D38" s="197"/>
      <c r="E38" s="197"/>
      <c r="F38" s="197"/>
      <c r="G38" s="197"/>
      <c r="H38" s="197"/>
      <c r="I38" s="198"/>
      <c r="J38" s="484">
        <f>SUM(J39:M41)</f>
        <v>55739219.852000006</v>
      </c>
      <c r="K38" s="484"/>
      <c r="L38" s="484"/>
      <c r="M38" s="484"/>
      <c r="N38" s="485"/>
    </row>
    <row r="39" spans="2:14">
      <c r="B39" s="8"/>
      <c r="C39" s="73" t="s">
        <v>309</v>
      </c>
      <c r="D39" s="199"/>
      <c r="E39" s="199"/>
      <c r="F39" s="199"/>
      <c r="G39" s="199"/>
      <c r="H39" s="199"/>
      <c r="I39" s="203"/>
      <c r="J39" s="487">
        <v>15203197.481999995</v>
      </c>
      <c r="K39" s="487"/>
      <c r="L39" s="487"/>
      <c r="M39" s="487"/>
      <c r="N39" s="207"/>
    </row>
    <row r="40" spans="2:14">
      <c r="B40" s="8"/>
      <c r="C40" s="73" t="s">
        <v>310</v>
      </c>
      <c r="D40" s="199"/>
      <c r="E40" s="199"/>
      <c r="F40" s="199"/>
      <c r="G40" s="199"/>
      <c r="H40" s="199"/>
      <c r="I40" s="203"/>
      <c r="J40" s="487">
        <v>40477313.720000014</v>
      </c>
      <c r="K40" s="487"/>
      <c r="L40" s="487"/>
      <c r="M40" s="487"/>
      <c r="N40" s="207"/>
    </row>
    <row r="41" spans="2:14">
      <c r="B41" s="8"/>
      <c r="C41" s="102" t="s">
        <v>311</v>
      </c>
      <c r="D41" s="205"/>
      <c r="E41" s="205"/>
      <c r="F41" s="205"/>
      <c r="G41" s="205"/>
      <c r="H41" s="205"/>
      <c r="I41" s="206"/>
      <c r="J41" s="487">
        <v>58708.649999999892</v>
      </c>
      <c r="K41" s="487"/>
      <c r="L41" s="487"/>
      <c r="M41" s="487"/>
      <c r="N41" s="207"/>
    </row>
    <row r="42" spans="2:14">
      <c r="B42" s="8"/>
      <c r="C42" s="111" t="s">
        <v>312</v>
      </c>
      <c r="D42" s="199"/>
      <c r="E42" s="199"/>
      <c r="F42" s="199"/>
      <c r="G42" s="199"/>
      <c r="H42" s="199"/>
      <c r="I42" s="203"/>
      <c r="J42" s="488">
        <v>36112780.232999995</v>
      </c>
      <c r="K42" s="489"/>
      <c r="L42" s="489"/>
      <c r="M42" s="489"/>
      <c r="N42" s="490"/>
    </row>
    <row r="43" spans="2:14">
      <c r="B43" s="8"/>
      <c r="C43" s="130" t="s">
        <v>313</v>
      </c>
      <c r="D43" s="208"/>
      <c r="E43" s="208"/>
      <c r="F43" s="208"/>
      <c r="G43" s="208"/>
      <c r="H43" s="208"/>
      <c r="I43" s="209"/>
      <c r="J43" s="488">
        <v>0</v>
      </c>
      <c r="K43" s="489"/>
      <c r="L43" s="489"/>
      <c r="M43" s="489"/>
      <c r="N43" s="490"/>
    </row>
    <row r="44" spans="2:14">
      <c r="B44" s="8"/>
      <c r="C44" s="130" t="s">
        <v>314</v>
      </c>
      <c r="D44" s="208"/>
      <c r="E44" s="208"/>
      <c r="F44" s="208"/>
      <c r="G44" s="208"/>
      <c r="H44" s="208"/>
      <c r="I44" s="209"/>
      <c r="J44" s="488">
        <v>0</v>
      </c>
      <c r="K44" s="489"/>
      <c r="L44" s="489"/>
      <c r="M44" s="489"/>
      <c r="N44" s="490"/>
    </row>
    <row r="45" spans="2:14" ht="13.95" customHeight="1">
      <c r="B45" s="8"/>
      <c r="C45" s="110" t="s">
        <v>315</v>
      </c>
      <c r="D45" s="197"/>
      <c r="E45" s="197"/>
      <c r="F45" s="197"/>
      <c r="G45" s="197"/>
      <c r="H45" s="197"/>
      <c r="I45" s="197"/>
      <c r="J45" s="491">
        <f>SUM(J46:M47)</f>
        <v>15031612</v>
      </c>
      <c r="K45" s="484"/>
      <c r="L45" s="484"/>
      <c r="M45" s="484"/>
      <c r="N45" s="485"/>
    </row>
    <row r="46" spans="2:14">
      <c r="B46" s="8"/>
      <c r="C46" s="200" t="s">
        <v>125</v>
      </c>
      <c r="D46" s="199"/>
      <c r="E46" s="199"/>
      <c r="F46" s="199"/>
      <c r="G46" s="199"/>
      <c r="H46" s="199"/>
      <c r="I46" s="199"/>
      <c r="J46" s="492">
        <v>0</v>
      </c>
      <c r="K46" s="493"/>
      <c r="L46" s="493"/>
      <c r="M46" s="493"/>
      <c r="N46" s="210"/>
    </row>
    <row r="47" spans="2:14">
      <c r="B47" s="8"/>
      <c r="C47" s="200" t="s">
        <v>126</v>
      </c>
      <c r="D47" s="199"/>
      <c r="E47" s="199"/>
      <c r="F47" s="199"/>
      <c r="G47" s="199"/>
      <c r="H47" s="199"/>
      <c r="I47" s="203"/>
      <c r="J47" s="486">
        <f>SUM(J48:M50)</f>
        <v>15031612</v>
      </c>
      <c r="K47" s="487"/>
      <c r="L47" s="487"/>
      <c r="M47" s="487"/>
      <c r="N47" s="497"/>
    </row>
    <row r="48" spans="2:14">
      <c r="B48" s="8"/>
      <c r="C48" s="211" t="s">
        <v>316</v>
      </c>
      <c r="D48" s="199"/>
      <c r="E48" s="199"/>
      <c r="F48" s="199"/>
      <c r="G48" s="199"/>
      <c r="H48" s="199"/>
      <c r="I48" s="203"/>
      <c r="J48" s="493">
        <v>0</v>
      </c>
      <c r="K48" s="493"/>
      <c r="L48" s="493"/>
      <c r="M48" s="493"/>
      <c r="N48" s="210"/>
    </row>
    <row r="49" spans="2:14">
      <c r="B49" s="8"/>
      <c r="C49" s="211" t="s">
        <v>317</v>
      </c>
      <c r="D49" s="199"/>
      <c r="E49" s="199"/>
      <c r="F49" s="199"/>
      <c r="G49" s="199"/>
      <c r="H49" s="199"/>
      <c r="I49" s="203"/>
      <c r="J49" s="493">
        <v>0</v>
      </c>
      <c r="K49" s="493"/>
      <c r="L49" s="493"/>
      <c r="M49" s="493"/>
      <c r="N49" s="210"/>
    </row>
    <row r="50" spans="2:14">
      <c r="B50" s="8"/>
      <c r="C50" s="212" t="s">
        <v>318</v>
      </c>
      <c r="D50" s="205"/>
      <c r="E50" s="205"/>
      <c r="F50" s="205"/>
      <c r="G50" s="205"/>
      <c r="H50" s="205"/>
      <c r="I50" s="206"/>
      <c r="J50" s="498">
        <v>15031612</v>
      </c>
      <c r="K50" s="499"/>
      <c r="L50" s="499"/>
      <c r="M50" s="499"/>
      <c r="N50" s="213"/>
    </row>
    <row r="51" spans="2:14">
      <c r="B51" s="8"/>
      <c r="C51" s="500" t="s">
        <v>319</v>
      </c>
      <c r="D51" s="329"/>
      <c r="E51" s="329"/>
      <c r="F51" s="329"/>
      <c r="G51" s="329"/>
      <c r="H51" s="329"/>
      <c r="I51" s="329"/>
      <c r="J51" s="329"/>
      <c r="K51" s="329"/>
      <c r="L51" s="329"/>
      <c r="M51" s="329"/>
      <c r="N51" s="331"/>
    </row>
    <row r="52" spans="2:14" ht="15" thickBot="1">
      <c r="B52" s="8"/>
      <c r="C52" s="163" t="s">
        <v>320</v>
      </c>
      <c r="D52" s="214"/>
      <c r="E52" s="214"/>
      <c r="F52" s="214"/>
      <c r="G52" s="214"/>
      <c r="H52" s="214"/>
      <c r="I52" s="215"/>
      <c r="J52" s="501">
        <v>1248484628.0380008</v>
      </c>
      <c r="K52" s="501"/>
      <c r="L52" s="501"/>
      <c r="M52" s="501"/>
      <c r="N52" s="502"/>
    </row>
    <row r="53" spans="2:14" ht="15" thickBot="1">
      <c r="B53" s="8"/>
      <c r="C53" s="216"/>
      <c r="D53" s="216"/>
      <c r="E53" s="216"/>
      <c r="F53" s="216"/>
      <c r="G53" s="216"/>
      <c r="H53" s="216"/>
      <c r="I53" s="216"/>
      <c r="J53" s="216"/>
      <c r="K53" s="216"/>
      <c r="L53" s="216"/>
      <c r="M53" s="216"/>
      <c r="N53" s="216"/>
    </row>
    <row r="54" spans="2:14">
      <c r="B54" s="8"/>
      <c r="C54" s="467" t="s">
        <v>321</v>
      </c>
      <c r="D54" s="468"/>
      <c r="E54" s="468"/>
      <c r="F54" s="468"/>
      <c r="G54" s="468"/>
      <c r="H54" s="468"/>
      <c r="I54" s="468"/>
      <c r="J54" s="468"/>
      <c r="K54" s="468"/>
      <c r="L54" s="468"/>
      <c r="M54" s="468"/>
      <c r="N54" s="469"/>
    </row>
    <row r="55" spans="2:14">
      <c r="B55" s="8"/>
      <c r="C55" s="217"/>
      <c r="D55" s="167"/>
      <c r="E55" s="167"/>
      <c r="F55" s="167"/>
      <c r="G55" s="167"/>
      <c r="H55" s="167"/>
      <c r="I55" s="494" t="s">
        <v>322</v>
      </c>
      <c r="J55" s="410"/>
      <c r="K55" s="411"/>
      <c r="L55" s="494" t="s">
        <v>323</v>
      </c>
      <c r="M55" s="410"/>
      <c r="N55" s="495"/>
    </row>
    <row r="56" spans="2:14">
      <c r="B56" s="8"/>
      <c r="C56" s="130" t="s">
        <v>324</v>
      </c>
      <c r="D56" s="177"/>
      <c r="E56" s="177"/>
      <c r="F56" s="177"/>
      <c r="G56" s="177"/>
      <c r="H56" s="177"/>
      <c r="I56" s="364">
        <f>I66-I57-I61</f>
        <v>1156616992.6025</v>
      </c>
      <c r="J56" s="365"/>
      <c r="K56" s="366"/>
      <c r="L56" s="482">
        <f>L66-L57-L61</f>
        <v>1147461371.8770008</v>
      </c>
      <c r="M56" s="482"/>
      <c r="N56" s="483"/>
    </row>
    <row r="57" spans="2:14">
      <c r="B57" s="8"/>
      <c r="C57" s="110" t="s">
        <v>325</v>
      </c>
      <c r="D57" s="219"/>
      <c r="E57" s="219"/>
      <c r="F57" s="219"/>
      <c r="G57" s="219"/>
      <c r="H57" s="219"/>
      <c r="I57" s="481">
        <f>SUM(I58:J60)</f>
        <v>143076270.55900002</v>
      </c>
      <c r="J57" s="482"/>
      <c r="K57" s="496"/>
      <c r="L57" s="481">
        <f>SUM(L58:M60)</f>
        <v>101023256.16100001</v>
      </c>
      <c r="M57" s="482"/>
      <c r="N57" s="483"/>
    </row>
    <row r="58" spans="2:14">
      <c r="B58" s="8"/>
      <c r="C58" s="73" t="s">
        <v>326</v>
      </c>
      <c r="D58" s="218"/>
      <c r="E58" s="218"/>
      <c r="F58" s="218"/>
      <c r="G58" s="218"/>
      <c r="H58" s="218"/>
      <c r="I58" s="486">
        <v>33773079.281999998</v>
      </c>
      <c r="J58" s="503"/>
      <c r="K58" s="220"/>
      <c r="L58" s="486">
        <v>14409732.974499999</v>
      </c>
      <c r="M58" s="487"/>
      <c r="N58" s="201"/>
    </row>
    <row r="59" spans="2:14">
      <c r="B59" s="8"/>
      <c r="C59" s="221" t="s">
        <v>327</v>
      </c>
      <c r="D59" s="218"/>
      <c r="E59" s="218"/>
      <c r="F59" s="218"/>
      <c r="G59" s="218"/>
      <c r="H59" s="218"/>
      <c r="I59" s="486">
        <v>101628952.91700001</v>
      </c>
      <c r="J59" s="503"/>
      <c r="K59" s="220"/>
      <c r="L59" s="486">
        <v>78613281.738000005</v>
      </c>
      <c r="M59" s="487"/>
      <c r="N59" s="201"/>
    </row>
    <row r="60" spans="2:14">
      <c r="B60" s="8"/>
      <c r="C60" s="222" t="s">
        <v>328</v>
      </c>
      <c r="D60" s="223"/>
      <c r="E60" s="223"/>
      <c r="F60" s="223"/>
      <c r="G60" s="223"/>
      <c r="H60" s="223"/>
      <c r="I60" s="486">
        <v>7674238.3600000003</v>
      </c>
      <c r="J60" s="503"/>
      <c r="K60" s="224"/>
      <c r="L60" s="486">
        <v>8000241.4484999999</v>
      </c>
      <c r="M60" s="487"/>
      <c r="N60" s="202"/>
    </row>
    <row r="61" spans="2:14">
      <c r="B61" s="8"/>
      <c r="C61" s="225" t="s">
        <v>329</v>
      </c>
      <c r="D61" s="219"/>
      <c r="E61" s="219"/>
      <c r="F61" s="219"/>
      <c r="G61" s="219"/>
      <c r="H61" s="219"/>
      <c r="I61" s="481">
        <f>SUM(I62:J65)</f>
        <v>0</v>
      </c>
      <c r="J61" s="482"/>
      <c r="K61" s="496"/>
      <c r="L61" s="481">
        <f>SUM(L62:M65)</f>
        <v>0</v>
      </c>
      <c r="M61" s="482"/>
      <c r="N61" s="496"/>
    </row>
    <row r="62" spans="2:14">
      <c r="B62" s="8"/>
      <c r="C62" s="221" t="s">
        <v>330</v>
      </c>
      <c r="D62" s="218"/>
      <c r="E62" s="218"/>
      <c r="F62" s="218"/>
      <c r="G62" s="218"/>
      <c r="H62" s="218"/>
      <c r="I62" s="376">
        <v>0</v>
      </c>
      <c r="J62" s="377"/>
      <c r="K62" s="220"/>
      <c r="L62" s="376">
        <v>0</v>
      </c>
      <c r="M62" s="377"/>
      <c r="N62" s="220"/>
    </row>
    <row r="63" spans="2:14">
      <c r="B63" s="8"/>
      <c r="C63" s="221" t="s">
        <v>331</v>
      </c>
      <c r="D63" s="218"/>
      <c r="E63" s="218"/>
      <c r="F63" s="218"/>
      <c r="G63" s="218"/>
      <c r="H63" s="218"/>
      <c r="I63" s="376">
        <v>0</v>
      </c>
      <c r="J63" s="377"/>
      <c r="K63" s="220"/>
      <c r="L63" s="376">
        <v>0</v>
      </c>
      <c r="M63" s="377"/>
      <c r="N63" s="220"/>
    </row>
    <row r="64" spans="2:14">
      <c r="B64" s="8"/>
      <c r="C64" s="221" t="s">
        <v>332</v>
      </c>
      <c r="D64" s="218"/>
      <c r="E64" s="218"/>
      <c r="F64" s="218"/>
      <c r="G64" s="218"/>
      <c r="H64" s="218"/>
      <c r="I64" s="376">
        <v>0</v>
      </c>
      <c r="J64" s="377"/>
      <c r="K64" s="220"/>
      <c r="L64" s="376">
        <v>0</v>
      </c>
      <c r="M64" s="377"/>
      <c r="N64" s="220"/>
    </row>
    <row r="65" spans="2:14">
      <c r="B65" s="8"/>
      <c r="C65" s="222" t="s">
        <v>333</v>
      </c>
      <c r="D65" s="223"/>
      <c r="E65" s="223"/>
      <c r="F65" s="223"/>
      <c r="G65" s="223"/>
      <c r="H65" s="223"/>
      <c r="I65" s="374">
        <v>0</v>
      </c>
      <c r="J65" s="375"/>
      <c r="K65" s="224"/>
      <c r="L65" s="374">
        <v>0</v>
      </c>
      <c r="M65" s="375"/>
      <c r="N65" s="224"/>
    </row>
    <row r="66" spans="2:14" ht="15" thickBot="1">
      <c r="B66" s="8"/>
      <c r="C66" s="132" t="s">
        <v>334</v>
      </c>
      <c r="D66" s="226"/>
      <c r="E66" s="226"/>
      <c r="F66" s="226"/>
      <c r="G66" s="226"/>
      <c r="H66" s="226"/>
      <c r="I66" s="513">
        <v>1299693263.1615</v>
      </c>
      <c r="J66" s="514"/>
      <c r="K66" s="515"/>
      <c r="L66" s="513">
        <f>J52</f>
        <v>1248484628.0380008</v>
      </c>
      <c r="M66" s="514"/>
      <c r="N66" s="516"/>
    </row>
    <row r="67" spans="2:14" ht="15" thickBot="1">
      <c r="B67" s="8"/>
      <c r="C67" s="216"/>
      <c r="D67" s="216"/>
      <c r="E67" s="216"/>
      <c r="F67" s="216"/>
      <c r="G67" s="216"/>
      <c r="H67" s="216"/>
      <c r="I67" s="216"/>
      <c r="J67" s="216"/>
      <c r="K67" s="216"/>
      <c r="L67" s="216"/>
      <c r="M67" s="216"/>
      <c r="N67" s="216"/>
    </row>
    <row r="68" spans="2:14">
      <c r="B68" s="8"/>
      <c r="C68" s="467" t="s">
        <v>335</v>
      </c>
      <c r="D68" s="468"/>
      <c r="E68" s="468"/>
      <c r="F68" s="468"/>
      <c r="G68" s="468"/>
      <c r="H68" s="468"/>
      <c r="I68" s="468"/>
      <c r="J68" s="468"/>
      <c r="K68" s="468"/>
      <c r="L68" s="468"/>
      <c r="M68" s="468"/>
      <c r="N68" s="469"/>
    </row>
    <row r="69" spans="2:14">
      <c r="B69" s="8"/>
      <c r="C69" s="227"/>
      <c r="D69" s="208"/>
      <c r="E69" s="208"/>
      <c r="F69" s="494" t="s">
        <v>161</v>
      </c>
      <c r="G69" s="410"/>
      <c r="H69" s="411"/>
      <c r="I69" s="494" t="s">
        <v>336</v>
      </c>
      <c r="J69" s="410"/>
      <c r="K69" s="411"/>
      <c r="L69" s="494" t="s">
        <v>337</v>
      </c>
      <c r="M69" s="410"/>
      <c r="N69" s="495"/>
    </row>
    <row r="70" spans="2:14">
      <c r="B70" s="8"/>
      <c r="C70" s="130" t="s">
        <v>338</v>
      </c>
      <c r="D70" s="208"/>
      <c r="E70" s="209"/>
      <c r="F70" s="504" t="s">
        <v>339</v>
      </c>
      <c r="G70" s="505"/>
      <c r="H70" s="506"/>
      <c r="I70" s="507">
        <v>0.59909999999999997</v>
      </c>
      <c r="J70" s="508"/>
      <c r="K70" s="509"/>
      <c r="L70" s="510">
        <v>0.5933860166381304</v>
      </c>
      <c r="M70" s="511">
        <v>0.5933860166381304</v>
      </c>
      <c r="N70" s="512">
        <v>0.5933860166381304</v>
      </c>
    </row>
    <row r="71" spans="2:14">
      <c r="B71" s="8"/>
      <c r="C71" s="130" t="s">
        <v>340</v>
      </c>
      <c r="D71" s="208"/>
      <c r="E71" s="209"/>
      <c r="F71" s="517" t="s">
        <v>341</v>
      </c>
      <c r="G71" s="505"/>
      <c r="H71" s="506"/>
      <c r="I71" s="507">
        <v>0.23619917981590235</v>
      </c>
      <c r="J71" s="508"/>
      <c r="K71" s="509"/>
      <c r="L71" s="524">
        <f>SUM(I94)</f>
        <v>0.21800944796351601</v>
      </c>
      <c r="M71" s="525">
        <v>0.23506649373865393</v>
      </c>
      <c r="N71" s="526">
        <v>0.23506649373865393</v>
      </c>
    </row>
    <row r="72" spans="2:14">
      <c r="B72" s="8"/>
      <c r="C72" s="130" t="s">
        <v>342</v>
      </c>
      <c r="D72" s="208"/>
      <c r="E72" s="209"/>
      <c r="F72" s="517" t="s">
        <v>343</v>
      </c>
      <c r="G72" s="505"/>
      <c r="H72" s="506"/>
      <c r="I72" s="527">
        <v>45.653288515885698</v>
      </c>
      <c r="J72" s="528"/>
      <c r="K72" s="529"/>
      <c r="L72" s="530">
        <v>50.103918032083719</v>
      </c>
      <c r="M72" s="531">
        <v>50.103918032083719</v>
      </c>
      <c r="N72" s="532">
        <v>50.103918032083719</v>
      </c>
    </row>
    <row r="73" spans="2:14">
      <c r="B73" s="8"/>
      <c r="C73" s="111" t="s">
        <v>344</v>
      </c>
      <c r="D73" s="218"/>
      <c r="E73" s="218"/>
      <c r="F73" s="517" t="s">
        <v>345</v>
      </c>
      <c r="G73" s="505"/>
      <c r="H73" s="506"/>
      <c r="I73" s="507">
        <v>3.0215850659402757E-2</v>
      </c>
      <c r="J73" s="508"/>
      <c r="K73" s="509"/>
      <c r="L73" s="518">
        <v>3.00962550095457E-2</v>
      </c>
      <c r="M73" s="519">
        <v>3.00962550095457E-2</v>
      </c>
      <c r="N73" s="520">
        <v>3.00962550095457E-2</v>
      </c>
    </row>
    <row r="74" spans="2:14">
      <c r="B74" s="8"/>
      <c r="C74" s="130" t="s">
        <v>346</v>
      </c>
      <c r="D74" s="177"/>
      <c r="E74" s="178"/>
      <c r="F74" s="521">
        <v>0.22</v>
      </c>
      <c r="G74" s="522">
        <v>0.22</v>
      </c>
      <c r="H74" s="523">
        <v>0.22</v>
      </c>
      <c r="I74" s="507">
        <v>0.11929088610212679</v>
      </c>
      <c r="J74" s="508"/>
      <c r="K74" s="509"/>
      <c r="L74" s="518">
        <v>0.1225521063887243</v>
      </c>
      <c r="M74" s="519">
        <v>0.1225521063887243</v>
      </c>
      <c r="N74" s="520">
        <v>0.1225521063887243</v>
      </c>
    </row>
    <row r="75" spans="2:14">
      <c r="B75" s="8"/>
      <c r="C75" s="130" t="s">
        <v>347</v>
      </c>
      <c r="D75" s="218"/>
      <c r="E75" s="218"/>
      <c r="F75" s="521">
        <v>0.27</v>
      </c>
      <c r="G75" s="522">
        <v>0.27</v>
      </c>
      <c r="H75" s="523">
        <v>0.27</v>
      </c>
      <c r="I75" s="507">
        <v>0.14834335381143124</v>
      </c>
      <c r="J75" s="508"/>
      <c r="K75" s="509"/>
      <c r="L75" s="518">
        <v>0.15248406763259356</v>
      </c>
      <c r="M75" s="519">
        <v>0.15248406763259356</v>
      </c>
      <c r="N75" s="520">
        <v>0.15248406763259356</v>
      </c>
    </row>
    <row r="76" spans="2:14">
      <c r="B76" s="8"/>
      <c r="C76" s="130" t="s">
        <v>348</v>
      </c>
      <c r="D76" s="177"/>
      <c r="E76" s="178"/>
      <c r="F76" s="521">
        <v>0.32</v>
      </c>
      <c r="G76" s="522">
        <v>0.32</v>
      </c>
      <c r="H76" s="523">
        <v>0.32</v>
      </c>
      <c r="I76" s="507">
        <v>0.17692800634677611</v>
      </c>
      <c r="J76" s="508"/>
      <c r="K76" s="509"/>
      <c r="L76" s="518">
        <v>0.18222615922594698</v>
      </c>
      <c r="M76" s="519">
        <v>0.18222615922594698</v>
      </c>
      <c r="N76" s="520">
        <v>0.18222615922594698</v>
      </c>
    </row>
    <row r="77" spans="2:14">
      <c r="B77" s="8"/>
      <c r="C77" s="130" t="s">
        <v>349</v>
      </c>
      <c r="D77" s="177"/>
      <c r="E77" s="178"/>
      <c r="F77" s="521">
        <v>0.36</v>
      </c>
      <c r="G77" s="522">
        <v>0.36</v>
      </c>
      <c r="H77" s="523">
        <v>0.36</v>
      </c>
      <c r="I77" s="507">
        <v>0.20313438242442733</v>
      </c>
      <c r="J77" s="508"/>
      <c r="K77" s="509"/>
      <c r="L77" s="518">
        <v>0.20949398161275479</v>
      </c>
      <c r="M77" s="519">
        <v>0.20949398161275479</v>
      </c>
      <c r="N77" s="520">
        <v>0.20949398161275479</v>
      </c>
    </row>
    <row r="78" spans="2:14" ht="15" thickBot="1">
      <c r="B78" s="8"/>
      <c r="C78" s="132" t="s">
        <v>350</v>
      </c>
      <c r="D78" s="226"/>
      <c r="E78" s="226"/>
      <c r="F78" s="533">
        <v>0.47</v>
      </c>
      <c r="G78" s="534">
        <v>0.47</v>
      </c>
      <c r="H78" s="535">
        <v>0.47</v>
      </c>
      <c r="I78" s="536">
        <v>0.22905611650193453</v>
      </c>
      <c r="J78" s="537"/>
      <c r="K78" s="538"/>
      <c r="L78" s="518">
        <v>0.23621014162861104</v>
      </c>
      <c r="M78" s="519">
        <v>0.23621014162861104</v>
      </c>
      <c r="N78" s="520">
        <v>0.23621014162861104</v>
      </c>
    </row>
    <row r="79" spans="2:14" ht="15" thickBot="1">
      <c r="B79" s="8"/>
      <c r="C79" s="216"/>
      <c r="D79" s="216"/>
      <c r="E79" s="216"/>
      <c r="F79" s="216"/>
      <c r="G79" s="216"/>
      <c r="H79" s="216"/>
      <c r="I79" s="216"/>
      <c r="J79" s="216"/>
      <c r="K79" s="216"/>
      <c r="L79" s="216"/>
      <c r="M79" s="216"/>
      <c r="N79" s="216"/>
    </row>
    <row r="80" spans="2:14">
      <c r="B80" s="8"/>
      <c r="C80" s="467" t="s">
        <v>351</v>
      </c>
      <c r="D80" s="468"/>
      <c r="E80" s="468"/>
      <c r="F80" s="468"/>
      <c r="G80" s="402"/>
      <c r="H80" s="402"/>
      <c r="I80" s="468"/>
      <c r="J80" s="468"/>
      <c r="K80" s="468"/>
      <c r="L80" s="468"/>
      <c r="M80" s="468"/>
      <c r="N80" s="469"/>
    </row>
    <row r="81" spans="2:14">
      <c r="B81" s="8"/>
      <c r="C81" s="162" t="s">
        <v>352</v>
      </c>
      <c r="D81" s="177"/>
      <c r="E81" s="177"/>
      <c r="F81" s="177"/>
      <c r="G81" s="543" t="s">
        <v>353</v>
      </c>
      <c r="H81" s="544"/>
      <c r="I81" s="494" t="s">
        <v>354</v>
      </c>
      <c r="J81" s="411"/>
      <c r="K81" s="543" t="s">
        <v>355</v>
      </c>
      <c r="L81" s="544"/>
      <c r="M81" s="410" t="s">
        <v>356</v>
      </c>
      <c r="N81" s="411"/>
    </row>
    <row r="82" spans="2:14">
      <c r="B82" s="8"/>
      <c r="C82" s="228" t="s">
        <v>357</v>
      </c>
      <c r="D82" s="199"/>
      <c r="E82" s="199"/>
      <c r="F82" s="199"/>
      <c r="G82" s="545">
        <v>776669332.36100018</v>
      </c>
      <c r="H82" s="546"/>
      <c r="I82" s="541">
        <f>G82/$G$87</f>
        <v>0.62208962362759712</v>
      </c>
      <c r="J82" s="541"/>
      <c r="K82" s="545">
        <v>141</v>
      </c>
      <c r="L82" s="546"/>
      <c r="M82" s="541">
        <f>K82/$K$87</f>
        <v>0.65887850467289721</v>
      </c>
      <c r="N82" s="542"/>
    </row>
    <row r="83" spans="2:14">
      <c r="B83" s="8"/>
      <c r="C83" s="228" t="s">
        <v>358</v>
      </c>
      <c r="D83" s="199"/>
      <c r="E83" s="199"/>
      <c r="F83" s="199"/>
      <c r="G83" s="539">
        <v>299853784.47700006</v>
      </c>
      <c r="H83" s="540"/>
      <c r="I83" s="541">
        <f t="shared" ref="I83:I86" si="0">G83/$G$87</f>
        <v>0.24017419016862204</v>
      </c>
      <c r="J83" s="541"/>
      <c r="K83" s="539">
        <v>33</v>
      </c>
      <c r="L83" s="540"/>
      <c r="M83" s="541">
        <f t="shared" ref="M83:M86" si="1">K83/$K$87</f>
        <v>0.1542056074766355</v>
      </c>
      <c r="N83" s="542"/>
    </row>
    <row r="84" spans="2:14">
      <c r="B84" s="8"/>
      <c r="C84" s="228" t="s">
        <v>359</v>
      </c>
      <c r="D84" s="199"/>
      <c r="E84" s="199"/>
      <c r="F84" s="199"/>
      <c r="G84" s="539">
        <v>171961511.20000002</v>
      </c>
      <c r="H84" s="540"/>
      <c r="I84" s="541">
        <f t="shared" si="0"/>
        <v>0.13773618620378078</v>
      </c>
      <c r="J84" s="541"/>
      <c r="K84" s="539">
        <v>40</v>
      </c>
      <c r="L84" s="540"/>
      <c r="M84" s="541">
        <f t="shared" si="1"/>
        <v>0.18691588785046728</v>
      </c>
      <c r="N84" s="542"/>
    </row>
    <row r="85" spans="2:14">
      <c r="B85" s="8"/>
      <c r="C85" s="228" t="s">
        <v>360</v>
      </c>
      <c r="D85" s="199"/>
      <c r="E85" s="199"/>
      <c r="F85" s="199"/>
      <c r="G85" s="539">
        <v>0</v>
      </c>
      <c r="H85" s="540"/>
      <c r="I85" s="541">
        <f t="shared" si="0"/>
        <v>0</v>
      </c>
      <c r="J85" s="541"/>
      <c r="K85" s="539">
        <v>0</v>
      </c>
      <c r="L85" s="540"/>
      <c r="M85" s="541">
        <f t="shared" si="1"/>
        <v>0</v>
      </c>
      <c r="N85" s="542"/>
    </row>
    <row r="86" spans="2:14">
      <c r="B86" s="8"/>
      <c r="C86" s="228" t="s">
        <v>361</v>
      </c>
      <c r="D86" s="199"/>
      <c r="E86" s="199"/>
      <c r="F86" s="199"/>
      <c r="G86" s="553">
        <v>0</v>
      </c>
      <c r="H86" s="554"/>
      <c r="I86" s="541">
        <f t="shared" si="0"/>
        <v>0</v>
      </c>
      <c r="J86" s="541"/>
      <c r="K86" s="553">
        <v>0</v>
      </c>
      <c r="L86" s="554"/>
      <c r="M86" s="541">
        <f t="shared" si="1"/>
        <v>0</v>
      </c>
      <c r="N86" s="542"/>
    </row>
    <row r="87" spans="2:14">
      <c r="B87" s="8"/>
      <c r="C87" s="162" t="s">
        <v>362</v>
      </c>
      <c r="D87" s="177"/>
      <c r="E87" s="177"/>
      <c r="F87" s="177"/>
      <c r="G87" s="547">
        <f>SUM(G82:H86)</f>
        <v>1248484628.0380003</v>
      </c>
      <c r="H87" s="548"/>
      <c r="I87" s="549">
        <f>SUM(I82:J86)</f>
        <v>1</v>
      </c>
      <c r="J87" s="550"/>
      <c r="K87" s="547">
        <f>SUM(K82:L86)</f>
        <v>214</v>
      </c>
      <c r="L87" s="548"/>
      <c r="M87" s="551">
        <f>SUM(M82:N86)</f>
        <v>1</v>
      </c>
      <c r="N87" s="552"/>
    </row>
    <row r="88" spans="2:14">
      <c r="B88" s="8"/>
      <c r="C88" s="216"/>
      <c r="D88" s="216"/>
      <c r="E88" s="216"/>
      <c r="F88" s="216"/>
      <c r="G88" s="216"/>
      <c r="H88" s="216"/>
      <c r="I88" s="216"/>
      <c r="J88" s="216"/>
      <c r="K88" s="216"/>
      <c r="L88" s="216"/>
      <c r="M88" s="216"/>
      <c r="N88" s="216"/>
    </row>
    <row r="89" spans="2:14">
      <c r="B89" s="8"/>
      <c r="C89" s="162" t="s">
        <v>363</v>
      </c>
      <c r="D89" s="177"/>
      <c r="E89" s="177"/>
      <c r="F89" s="177"/>
      <c r="G89" s="543" t="s">
        <v>353</v>
      </c>
      <c r="H89" s="544"/>
      <c r="I89" s="494" t="s">
        <v>354</v>
      </c>
      <c r="J89" s="411"/>
      <c r="K89" s="543" t="s">
        <v>355</v>
      </c>
      <c r="L89" s="544"/>
      <c r="M89" s="410" t="s">
        <v>356</v>
      </c>
      <c r="N89" s="411"/>
    </row>
    <row r="90" spans="2:14">
      <c r="B90" s="8"/>
      <c r="C90" s="228" t="s">
        <v>364</v>
      </c>
      <c r="D90" s="199"/>
      <c r="E90" s="199"/>
      <c r="F90" s="199"/>
      <c r="G90" s="545">
        <v>22480957.957000002</v>
      </c>
      <c r="H90" s="546"/>
      <c r="I90" s="541">
        <f>G90/$G$95</f>
        <v>1.8006595717825494E-2</v>
      </c>
      <c r="J90" s="541"/>
      <c r="K90" s="545">
        <v>20</v>
      </c>
      <c r="L90" s="546"/>
      <c r="M90" s="555">
        <f>K90/$K$95</f>
        <v>9.3457943925233641E-2</v>
      </c>
      <c r="N90" s="556"/>
    </row>
    <row r="91" spans="2:14">
      <c r="B91" s="8"/>
      <c r="C91" s="228" t="s">
        <v>365</v>
      </c>
      <c r="D91" s="199"/>
      <c r="E91" s="199"/>
      <c r="F91" s="199"/>
      <c r="G91" s="539">
        <v>281103150.3689999</v>
      </c>
      <c r="H91" s="540"/>
      <c r="I91" s="541">
        <f t="shared" ref="I91:I94" si="2">G91/$G$95</f>
        <v>0.22515547573121103</v>
      </c>
      <c r="J91" s="541"/>
      <c r="K91" s="539">
        <v>63</v>
      </c>
      <c r="L91" s="540"/>
      <c r="M91" s="541">
        <f t="shared" ref="M91:M94" si="3">K91/$K$95</f>
        <v>0.29439252336448596</v>
      </c>
      <c r="N91" s="542"/>
    </row>
    <row r="92" spans="2:14">
      <c r="B92" s="8"/>
      <c r="C92" s="228" t="s">
        <v>366</v>
      </c>
      <c r="D92" s="199"/>
      <c r="E92" s="199"/>
      <c r="F92" s="199"/>
      <c r="G92" s="539">
        <v>387119165.65249997</v>
      </c>
      <c r="H92" s="540"/>
      <c r="I92" s="541">
        <f t="shared" si="2"/>
        <v>0.31007123112189194</v>
      </c>
      <c r="J92" s="541"/>
      <c r="K92" s="539">
        <v>67</v>
      </c>
      <c r="L92" s="540"/>
      <c r="M92" s="541">
        <f t="shared" si="3"/>
        <v>0.31308411214953269</v>
      </c>
      <c r="N92" s="542"/>
    </row>
    <row r="93" spans="2:14">
      <c r="B93" s="8"/>
      <c r="C93" s="228" t="s">
        <v>367</v>
      </c>
      <c r="D93" s="199"/>
      <c r="E93" s="199"/>
      <c r="F93" s="199"/>
      <c r="G93" s="539">
        <v>285599909.51000005</v>
      </c>
      <c r="H93" s="540"/>
      <c r="I93" s="541">
        <f t="shared" si="2"/>
        <v>0.22875724946555553</v>
      </c>
      <c r="J93" s="541"/>
      <c r="K93" s="539">
        <v>33</v>
      </c>
      <c r="L93" s="540"/>
      <c r="M93" s="541">
        <f t="shared" si="3"/>
        <v>0.1542056074766355</v>
      </c>
      <c r="N93" s="542"/>
    </row>
    <row r="94" spans="2:14">
      <c r="B94" s="8"/>
      <c r="C94" s="228" t="s">
        <v>368</v>
      </c>
      <c r="D94" s="199"/>
      <c r="E94" s="199"/>
      <c r="F94" s="199"/>
      <c r="G94" s="553">
        <v>272181444.54949999</v>
      </c>
      <c r="H94" s="554"/>
      <c r="I94" s="541">
        <f t="shared" si="2"/>
        <v>0.21800944796351601</v>
      </c>
      <c r="J94" s="541"/>
      <c r="K94" s="553">
        <v>31</v>
      </c>
      <c r="L94" s="554"/>
      <c r="M94" s="558">
        <f t="shared" si="3"/>
        <v>0.14485981308411214</v>
      </c>
      <c r="N94" s="559"/>
    </row>
    <row r="95" spans="2:14">
      <c r="B95" s="8"/>
      <c r="C95" s="162" t="s">
        <v>362</v>
      </c>
      <c r="D95" s="177"/>
      <c r="E95" s="177"/>
      <c r="F95" s="177"/>
      <c r="G95" s="547">
        <f>SUM(G90:H94)</f>
        <v>1248484628.0379999</v>
      </c>
      <c r="H95" s="548"/>
      <c r="I95" s="551">
        <f>SUM(I90:J94)</f>
        <v>1</v>
      </c>
      <c r="J95" s="560"/>
      <c r="K95" s="561">
        <f>SUM(K90:L94)</f>
        <v>214</v>
      </c>
      <c r="L95" s="562"/>
      <c r="M95" s="549">
        <f>SUM(M90:N94)</f>
        <v>0.99999999999999989</v>
      </c>
      <c r="N95" s="550"/>
    </row>
    <row r="96" spans="2:14">
      <c r="B96" s="8"/>
      <c r="C96" s="3"/>
      <c r="D96" s="3"/>
      <c r="E96" s="3"/>
      <c r="F96" s="3"/>
      <c r="G96" s="3"/>
      <c r="H96" s="3"/>
      <c r="I96" s="3"/>
      <c r="J96" s="3"/>
      <c r="K96" s="3"/>
      <c r="L96" s="3"/>
      <c r="M96" s="3"/>
      <c r="N96" s="3"/>
    </row>
    <row r="97" spans="2:14">
      <c r="B97" s="8"/>
      <c r="C97" s="162" t="s">
        <v>369</v>
      </c>
      <c r="D97" s="177"/>
      <c r="E97" s="177"/>
      <c r="F97" s="177"/>
      <c r="G97" s="543" t="s">
        <v>353</v>
      </c>
      <c r="H97" s="544"/>
      <c r="I97" s="410" t="s">
        <v>354</v>
      </c>
      <c r="J97" s="411"/>
      <c r="K97" s="543" t="s">
        <v>355</v>
      </c>
      <c r="L97" s="544"/>
      <c r="M97" s="557" t="s">
        <v>356</v>
      </c>
      <c r="N97" s="544"/>
    </row>
    <row r="98" spans="2:14">
      <c r="B98" s="8"/>
      <c r="C98" s="228">
        <v>2007</v>
      </c>
      <c r="D98" s="199"/>
      <c r="E98" s="199"/>
      <c r="F98" s="199"/>
      <c r="G98" s="545">
        <v>0</v>
      </c>
      <c r="H98" s="546"/>
      <c r="I98" s="541">
        <f t="shared" ref="I98:I116" si="4">G98/$G$117</f>
        <v>0</v>
      </c>
      <c r="J98" s="541"/>
      <c r="K98" s="545">
        <v>0</v>
      </c>
      <c r="L98" s="546"/>
      <c r="M98" s="555">
        <f t="shared" ref="M98:M116" si="5">K98/$K$117</f>
        <v>0</v>
      </c>
      <c r="N98" s="556"/>
    </row>
    <row r="99" spans="2:14">
      <c r="B99" s="8"/>
      <c r="C99" s="228">
        <v>2008</v>
      </c>
      <c r="D99" s="199"/>
      <c r="E99" s="199"/>
      <c r="F99" s="199"/>
      <c r="G99" s="539">
        <v>0</v>
      </c>
      <c r="H99" s="540"/>
      <c r="I99" s="541">
        <f t="shared" si="4"/>
        <v>0</v>
      </c>
      <c r="J99" s="541"/>
      <c r="K99" s="539">
        <v>0</v>
      </c>
      <c r="L99" s="540"/>
      <c r="M99" s="541">
        <f t="shared" si="5"/>
        <v>0</v>
      </c>
      <c r="N99" s="542"/>
    </row>
    <row r="100" spans="2:14">
      <c r="B100" s="8"/>
      <c r="C100" s="228">
        <v>2009</v>
      </c>
      <c r="D100" s="199"/>
      <c r="E100" s="199"/>
      <c r="F100" s="199"/>
      <c r="G100" s="539">
        <v>0</v>
      </c>
      <c r="H100" s="540"/>
      <c r="I100" s="541">
        <f t="shared" si="4"/>
        <v>0</v>
      </c>
      <c r="J100" s="541"/>
      <c r="K100" s="539">
        <v>0</v>
      </c>
      <c r="L100" s="540"/>
      <c r="M100" s="541">
        <f t="shared" si="5"/>
        <v>0</v>
      </c>
      <c r="N100" s="542"/>
    </row>
    <row r="101" spans="2:14">
      <c r="B101" s="8"/>
      <c r="C101" s="228">
        <v>2010</v>
      </c>
      <c r="D101" s="199"/>
      <c r="E101" s="199"/>
      <c r="F101" s="199"/>
      <c r="G101" s="539">
        <v>0</v>
      </c>
      <c r="H101" s="540"/>
      <c r="I101" s="541">
        <f t="shared" si="4"/>
        <v>0</v>
      </c>
      <c r="J101" s="541"/>
      <c r="K101" s="539">
        <v>0</v>
      </c>
      <c r="L101" s="540"/>
      <c r="M101" s="541">
        <f t="shared" si="5"/>
        <v>0</v>
      </c>
      <c r="N101" s="542"/>
    </row>
    <row r="102" spans="2:14">
      <c r="B102" s="8"/>
      <c r="C102" s="228">
        <v>2011</v>
      </c>
      <c r="D102" s="199"/>
      <c r="E102" s="199"/>
      <c r="F102" s="199"/>
      <c r="G102" s="539">
        <v>530805.46</v>
      </c>
      <c r="H102" s="540"/>
      <c r="I102" s="541">
        <f t="shared" si="4"/>
        <v>4.2515978817789967E-4</v>
      </c>
      <c r="J102" s="541"/>
      <c r="K102" s="539">
        <v>2</v>
      </c>
      <c r="L102" s="540"/>
      <c r="M102" s="541">
        <f t="shared" si="5"/>
        <v>9.3457943925233638E-3</v>
      </c>
      <c r="N102" s="542"/>
    </row>
    <row r="103" spans="2:14">
      <c r="B103" s="8"/>
      <c r="C103" s="228">
        <v>2012</v>
      </c>
      <c r="D103" s="199"/>
      <c r="E103" s="199"/>
      <c r="F103" s="199"/>
      <c r="G103" s="539">
        <v>3222259.6799999997</v>
      </c>
      <c r="H103" s="540"/>
      <c r="I103" s="541">
        <f t="shared" si="4"/>
        <v>2.5809366071761707E-3</v>
      </c>
      <c r="J103" s="541"/>
      <c r="K103" s="539">
        <v>4</v>
      </c>
      <c r="L103" s="540"/>
      <c r="M103" s="541">
        <f t="shared" si="5"/>
        <v>1.8691588785046728E-2</v>
      </c>
      <c r="N103" s="542"/>
    </row>
    <row r="104" spans="2:14">
      <c r="B104" s="8"/>
      <c r="C104" s="228">
        <v>2013</v>
      </c>
      <c r="D104" s="199"/>
      <c r="E104" s="199"/>
      <c r="F104" s="199"/>
      <c r="G104" s="539">
        <v>0</v>
      </c>
      <c r="H104" s="540"/>
      <c r="I104" s="541">
        <f t="shared" si="4"/>
        <v>0</v>
      </c>
      <c r="J104" s="541"/>
      <c r="K104" s="539">
        <v>0</v>
      </c>
      <c r="L104" s="540"/>
      <c r="M104" s="541">
        <f t="shared" si="5"/>
        <v>0</v>
      </c>
      <c r="N104" s="542"/>
    </row>
    <row r="105" spans="2:14">
      <c r="B105" s="8"/>
      <c r="C105" s="228">
        <v>2014</v>
      </c>
      <c r="D105" s="199"/>
      <c r="E105" s="199"/>
      <c r="F105" s="199"/>
      <c r="G105" s="539">
        <v>384993.05</v>
      </c>
      <c r="H105" s="540"/>
      <c r="I105" s="541">
        <f t="shared" si="4"/>
        <v>3.0836827410924436E-4</v>
      </c>
      <c r="J105" s="541"/>
      <c r="K105" s="539">
        <v>1</v>
      </c>
      <c r="L105" s="540"/>
      <c r="M105" s="541">
        <f t="shared" si="5"/>
        <v>4.6728971962616819E-3</v>
      </c>
      <c r="N105" s="542"/>
    </row>
    <row r="106" spans="2:14">
      <c r="B106" s="8"/>
      <c r="C106" s="228">
        <v>2015</v>
      </c>
      <c r="D106" s="199"/>
      <c r="E106" s="199"/>
      <c r="F106" s="199"/>
      <c r="G106" s="539">
        <v>12721850.859999999</v>
      </c>
      <c r="H106" s="540"/>
      <c r="I106" s="541">
        <f t="shared" si="4"/>
        <v>1.0189833798748851E-2</v>
      </c>
      <c r="J106" s="541"/>
      <c r="K106" s="539">
        <v>1</v>
      </c>
      <c r="L106" s="540"/>
      <c r="M106" s="541">
        <f t="shared" si="5"/>
        <v>4.6728971962616819E-3</v>
      </c>
      <c r="N106" s="542"/>
    </row>
    <row r="107" spans="2:14">
      <c r="B107" s="8"/>
      <c r="C107" s="228">
        <v>2016</v>
      </c>
      <c r="D107" s="199"/>
      <c r="E107" s="199"/>
      <c r="F107" s="199"/>
      <c r="G107" s="539">
        <v>34721689.726999998</v>
      </c>
      <c r="H107" s="540"/>
      <c r="I107" s="541">
        <f t="shared" si="4"/>
        <v>2.7811067070617687E-2</v>
      </c>
      <c r="J107" s="541"/>
      <c r="K107" s="539">
        <v>10</v>
      </c>
      <c r="L107" s="540"/>
      <c r="M107" s="541">
        <f t="shared" si="5"/>
        <v>4.6728971962616821E-2</v>
      </c>
      <c r="N107" s="542"/>
    </row>
    <row r="108" spans="2:14">
      <c r="B108" s="8"/>
      <c r="C108" s="228">
        <v>2017</v>
      </c>
      <c r="D108" s="199"/>
      <c r="E108" s="199"/>
      <c r="F108" s="199"/>
      <c r="G108" s="539">
        <v>33171082.640000001</v>
      </c>
      <c r="H108" s="540"/>
      <c r="I108" s="541">
        <f t="shared" si="4"/>
        <v>2.6569075737943624E-2</v>
      </c>
      <c r="J108" s="541"/>
      <c r="K108" s="539">
        <v>9</v>
      </c>
      <c r="L108" s="540"/>
      <c r="M108" s="541">
        <f t="shared" si="5"/>
        <v>4.2056074766355138E-2</v>
      </c>
      <c r="N108" s="542"/>
    </row>
    <row r="109" spans="2:14">
      <c r="B109" s="8"/>
      <c r="C109" s="228">
        <v>2018</v>
      </c>
      <c r="D109" s="199"/>
      <c r="E109" s="199"/>
      <c r="F109" s="199"/>
      <c r="G109" s="539">
        <v>77798634.019999996</v>
      </c>
      <c r="H109" s="540"/>
      <c r="I109" s="541">
        <f t="shared" si="4"/>
        <v>6.2314450873344703E-2</v>
      </c>
      <c r="J109" s="541"/>
      <c r="K109" s="539">
        <v>14</v>
      </c>
      <c r="L109" s="540"/>
      <c r="M109" s="541">
        <f t="shared" si="5"/>
        <v>6.5420560747663545E-2</v>
      </c>
      <c r="N109" s="542"/>
    </row>
    <row r="110" spans="2:14">
      <c r="B110" s="8"/>
      <c r="C110" s="228">
        <v>2019</v>
      </c>
      <c r="D110" s="199"/>
      <c r="E110" s="199"/>
      <c r="F110" s="199"/>
      <c r="G110" s="539">
        <v>213833379.68349999</v>
      </c>
      <c r="H110" s="540"/>
      <c r="I110" s="541">
        <f t="shared" si="4"/>
        <v>0.17127433921196147</v>
      </c>
      <c r="J110" s="541"/>
      <c r="K110" s="539">
        <v>37</v>
      </c>
      <c r="L110" s="540"/>
      <c r="M110" s="541">
        <f t="shared" si="5"/>
        <v>0.17289719626168223</v>
      </c>
      <c r="N110" s="542"/>
    </row>
    <row r="111" spans="2:14">
      <c r="B111" s="8"/>
      <c r="C111" s="228">
        <v>2020</v>
      </c>
      <c r="D111" s="199"/>
      <c r="E111" s="199"/>
      <c r="F111" s="199"/>
      <c r="G111" s="539">
        <v>40899980.068999998</v>
      </c>
      <c r="H111" s="540"/>
      <c r="I111" s="541">
        <f t="shared" si="4"/>
        <v>3.2759698558142862E-2</v>
      </c>
      <c r="J111" s="541"/>
      <c r="K111" s="539">
        <v>10</v>
      </c>
      <c r="L111" s="540"/>
      <c r="M111" s="541">
        <f t="shared" si="5"/>
        <v>4.6728971962616821E-2</v>
      </c>
      <c r="N111" s="542"/>
    </row>
    <row r="112" spans="2:14">
      <c r="B112" s="8"/>
      <c r="C112" s="228">
        <v>2021</v>
      </c>
      <c r="D112" s="199"/>
      <c r="E112" s="199"/>
      <c r="F112" s="199"/>
      <c r="G112" s="539">
        <v>236482268.6400001</v>
      </c>
      <c r="H112" s="540"/>
      <c r="I112" s="541">
        <f t="shared" si="4"/>
        <v>0.18941544279294267</v>
      </c>
      <c r="J112" s="541"/>
      <c r="K112" s="539">
        <v>32</v>
      </c>
      <c r="L112" s="540"/>
      <c r="M112" s="541">
        <f t="shared" si="5"/>
        <v>0.14953271028037382</v>
      </c>
      <c r="N112" s="542"/>
    </row>
    <row r="113" spans="2:14">
      <c r="B113" s="8"/>
      <c r="C113" s="228">
        <v>2022</v>
      </c>
      <c r="D113" s="199"/>
      <c r="E113" s="199"/>
      <c r="F113" s="199"/>
      <c r="G113" s="539">
        <v>159595409.99999997</v>
      </c>
      <c r="H113" s="540"/>
      <c r="I113" s="541">
        <f t="shared" si="4"/>
        <v>0.12783129757136455</v>
      </c>
      <c r="J113" s="541"/>
      <c r="K113" s="539">
        <v>39</v>
      </c>
      <c r="L113" s="540"/>
      <c r="M113" s="541">
        <f t="shared" si="5"/>
        <v>0.1822429906542056</v>
      </c>
      <c r="N113" s="542"/>
    </row>
    <row r="114" spans="2:14">
      <c r="B114" s="8"/>
      <c r="C114" s="228">
        <v>2023</v>
      </c>
      <c r="D114" s="199"/>
      <c r="E114" s="199"/>
      <c r="F114" s="199"/>
      <c r="G114" s="539">
        <v>102520302.18350001</v>
      </c>
      <c r="H114" s="540"/>
      <c r="I114" s="541">
        <f t="shared" si="4"/>
        <v>8.211579052007327E-2</v>
      </c>
      <c r="J114" s="541"/>
      <c r="K114" s="539">
        <v>16</v>
      </c>
      <c r="L114" s="540"/>
      <c r="M114" s="541">
        <f t="shared" si="5"/>
        <v>7.476635514018691E-2</v>
      </c>
      <c r="N114" s="542"/>
    </row>
    <row r="115" spans="2:14">
      <c r="B115" s="8"/>
      <c r="C115" s="228">
        <v>2024</v>
      </c>
      <c r="D115" s="199"/>
      <c r="E115" s="199"/>
      <c r="F115" s="199"/>
      <c r="G115" s="539">
        <v>113797277.05499999</v>
      </c>
      <c r="H115" s="540"/>
      <c r="I115" s="541">
        <f t="shared" si="4"/>
        <v>9.1148320531453386E-2</v>
      </c>
      <c r="J115" s="541"/>
      <c r="K115" s="539">
        <v>21</v>
      </c>
      <c r="L115" s="540"/>
      <c r="M115" s="541">
        <f t="shared" si="5"/>
        <v>9.8130841121495324E-2</v>
      </c>
      <c r="N115" s="542"/>
    </row>
    <row r="116" spans="2:14">
      <c r="B116" s="8"/>
      <c r="C116" s="228">
        <v>2025</v>
      </c>
      <c r="D116" s="199"/>
      <c r="E116" s="199"/>
      <c r="F116" s="199"/>
      <c r="G116" s="553">
        <v>218804694.97000003</v>
      </c>
      <c r="H116" s="554"/>
      <c r="I116" s="541">
        <f t="shared" si="4"/>
        <v>0.17525621866394359</v>
      </c>
      <c r="J116" s="541"/>
      <c r="K116" s="553">
        <v>18</v>
      </c>
      <c r="L116" s="554"/>
      <c r="M116" s="541">
        <f t="shared" si="5"/>
        <v>8.4112149532710276E-2</v>
      </c>
      <c r="N116" s="542"/>
    </row>
    <row r="117" spans="2:14">
      <c r="B117" s="8"/>
      <c r="C117" s="162" t="s">
        <v>362</v>
      </c>
      <c r="D117" s="177"/>
      <c r="E117" s="177"/>
      <c r="F117" s="177"/>
      <c r="G117" s="563">
        <f t="shared" ref="G117" si="6">SUM(G98:H116)</f>
        <v>1248484628.0380001</v>
      </c>
      <c r="H117" s="564"/>
      <c r="I117" s="551">
        <f>SUM(I98:J116)</f>
        <v>1</v>
      </c>
      <c r="J117" s="560"/>
      <c r="K117" s="561">
        <f>SUM(K98:L116)</f>
        <v>214</v>
      </c>
      <c r="L117" s="562"/>
      <c r="M117" s="551">
        <f>SUM(M98:N116)</f>
        <v>0.99999999999999989</v>
      </c>
      <c r="N117" s="552"/>
    </row>
    <row r="118" spans="2:14">
      <c r="B118" s="8"/>
      <c r="C118" s="3"/>
      <c r="D118" s="3"/>
      <c r="E118" s="3"/>
      <c r="F118" s="3"/>
      <c r="G118" s="3"/>
      <c r="H118" s="3"/>
      <c r="I118" s="3"/>
      <c r="J118" s="3"/>
      <c r="K118" s="3"/>
      <c r="L118" s="3"/>
      <c r="M118" s="3"/>
      <c r="N118" s="3"/>
    </row>
    <row r="119" spans="2:14">
      <c r="B119" s="8"/>
      <c r="C119" s="162" t="s">
        <v>370</v>
      </c>
      <c r="D119" s="177"/>
      <c r="E119" s="177"/>
      <c r="F119" s="177"/>
      <c r="G119" s="543" t="s">
        <v>353</v>
      </c>
      <c r="H119" s="544"/>
      <c r="I119" s="494" t="s">
        <v>354</v>
      </c>
      <c r="J119" s="411"/>
      <c r="K119" s="543" t="s">
        <v>355</v>
      </c>
      <c r="L119" s="544"/>
      <c r="M119" s="410" t="s">
        <v>356</v>
      </c>
      <c r="N119" s="411"/>
    </row>
    <row r="120" spans="2:14">
      <c r="B120" s="8"/>
      <c r="C120" s="228" t="s">
        <v>371</v>
      </c>
      <c r="D120" s="199"/>
      <c r="E120" s="199"/>
      <c r="F120" s="199"/>
      <c r="G120" s="569">
        <v>62965834.230000004</v>
      </c>
      <c r="H120" s="570"/>
      <c r="I120" s="567">
        <f>G120/$G$126</f>
        <v>5.0433808167066614E-2</v>
      </c>
      <c r="J120" s="567"/>
      <c r="K120" s="545">
        <v>3</v>
      </c>
      <c r="L120" s="546"/>
      <c r="M120" s="571">
        <f t="shared" ref="M120:M125" si="7">K120/$K$126</f>
        <v>1.4018691588785047E-2</v>
      </c>
      <c r="N120" s="572"/>
    </row>
    <row r="121" spans="2:14">
      <c r="B121" s="8"/>
      <c r="C121" s="228" t="s">
        <v>372</v>
      </c>
      <c r="D121" s="199"/>
      <c r="E121" s="199"/>
      <c r="F121" s="199"/>
      <c r="G121" s="565">
        <v>134701335.28</v>
      </c>
      <c r="H121" s="566"/>
      <c r="I121" s="567">
        <f t="shared" ref="I121:I125" si="8">G121/$G$126</f>
        <v>0.1078918652700465</v>
      </c>
      <c r="J121" s="567"/>
      <c r="K121" s="539">
        <v>11</v>
      </c>
      <c r="L121" s="540"/>
      <c r="M121" s="567">
        <f t="shared" si="7"/>
        <v>5.1401869158878503E-2</v>
      </c>
      <c r="N121" s="568"/>
    </row>
    <row r="122" spans="2:14">
      <c r="B122" s="8"/>
      <c r="C122" s="228" t="s">
        <v>373</v>
      </c>
      <c r="D122" s="199"/>
      <c r="E122" s="199"/>
      <c r="F122" s="199"/>
      <c r="G122" s="565">
        <v>346252800.9600001</v>
      </c>
      <c r="H122" s="566"/>
      <c r="I122" s="567">
        <f t="shared" si="8"/>
        <v>0.27733845750599123</v>
      </c>
      <c r="J122" s="567"/>
      <c r="K122" s="539">
        <v>46</v>
      </c>
      <c r="L122" s="540"/>
      <c r="M122" s="567">
        <f t="shared" si="7"/>
        <v>0.21495327102803738</v>
      </c>
      <c r="N122" s="568"/>
    </row>
    <row r="123" spans="2:14">
      <c r="B123" s="8"/>
      <c r="C123" s="228" t="s">
        <v>374</v>
      </c>
      <c r="D123" s="199"/>
      <c r="E123" s="199"/>
      <c r="F123" s="199"/>
      <c r="G123" s="565">
        <v>561352042.6869998</v>
      </c>
      <c r="H123" s="566"/>
      <c r="I123" s="567">
        <f t="shared" si="8"/>
        <v>0.44962671552405692</v>
      </c>
      <c r="J123" s="567"/>
      <c r="K123" s="539">
        <v>127</v>
      </c>
      <c r="L123" s="540"/>
      <c r="M123" s="567">
        <f t="shared" si="7"/>
        <v>0.59345794392523366</v>
      </c>
      <c r="N123" s="568"/>
    </row>
    <row r="124" spans="2:14">
      <c r="B124" s="8"/>
      <c r="C124" s="228" t="s">
        <v>375</v>
      </c>
      <c r="D124" s="199"/>
      <c r="E124" s="199"/>
      <c r="F124" s="199"/>
      <c r="G124" s="565">
        <v>141185521.91100001</v>
      </c>
      <c r="H124" s="566"/>
      <c r="I124" s="567">
        <f t="shared" si="8"/>
        <v>0.11308551081872253</v>
      </c>
      <c r="J124" s="567"/>
      <c r="K124" s="539">
        <v>26</v>
      </c>
      <c r="L124" s="540"/>
      <c r="M124" s="567">
        <f t="shared" si="7"/>
        <v>0.12149532710280374</v>
      </c>
      <c r="N124" s="568"/>
    </row>
    <row r="125" spans="2:14">
      <c r="B125" s="8"/>
      <c r="C125" s="228" t="s">
        <v>376</v>
      </c>
      <c r="D125" s="199"/>
      <c r="E125" s="199"/>
      <c r="F125" s="199"/>
      <c r="G125" s="579">
        <v>2027092.97</v>
      </c>
      <c r="H125" s="580"/>
      <c r="I125" s="581">
        <f t="shared" si="8"/>
        <v>1.6236427141162219E-3</v>
      </c>
      <c r="J125" s="581"/>
      <c r="K125" s="579">
        <v>1</v>
      </c>
      <c r="L125" s="580"/>
      <c r="M125" s="581">
        <f t="shared" si="7"/>
        <v>4.6728971962616819E-3</v>
      </c>
      <c r="N125" s="582"/>
    </row>
    <row r="126" spans="2:14">
      <c r="B126" s="8"/>
      <c r="C126" s="162" t="s">
        <v>362</v>
      </c>
      <c r="D126" s="177"/>
      <c r="E126" s="177"/>
      <c r="F126" s="177"/>
      <c r="G126" s="561">
        <f>SUM(G120:H125)</f>
        <v>1248484628.0379999</v>
      </c>
      <c r="H126" s="562"/>
      <c r="I126" s="573">
        <f>SUM(I120:J125)</f>
        <v>1</v>
      </c>
      <c r="J126" s="574"/>
      <c r="K126" s="575">
        <f>SUM(K120:L125)</f>
        <v>214</v>
      </c>
      <c r="L126" s="576"/>
      <c r="M126" s="577">
        <f>SUM(M120:N125)</f>
        <v>1</v>
      </c>
      <c r="N126" s="578"/>
    </row>
    <row r="127" spans="2:14" ht="15" thickBot="1">
      <c r="B127" s="191"/>
      <c r="C127" s="89"/>
      <c r="D127" s="89"/>
      <c r="E127" s="89"/>
      <c r="F127" s="89"/>
      <c r="G127" s="89"/>
      <c r="H127" s="89"/>
      <c r="I127" s="89"/>
      <c r="J127" s="89"/>
      <c r="K127" s="89"/>
      <c r="L127" s="89"/>
      <c r="M127" s="89"/>
      <c r="N127" s="89"/>
    </row>
    <row r="165" spans="3:15">
      <c r="C165" s="1" t="s">
        <v>205</v>
      </c>
    </row>
    <row r="173" spans="3:15">
      <c r="C173" s="229"/>
      <c r="D173" s="230"/>
      <c r="E173" s="230"/>
      <c r="F173" s="230"/>
      <c r="G173" s="230"/>
      <c r="H173" s="230"/>
      <c r="I173" s="230"/>
      <c r="J173" s="230"/>
      <c r="K173" s="231"/>
      <c r="L173" s="383">
        <f ca="1">SUM(L173:N178)</f>
        <v>0</v>
      </c>
      <c r="M173" s="384"/>
      <c r="N173" s="384"/>
    </row>
    <row r="174" spans="3:15">
      <c r="C174" s="232"/>
      <c r="K174" s="233"/>
      <c r="L174" s="232">
        <v>0</v>
      </c>
    </row>
    <row r="175" spans="3:15">
      <c r="C175" s="232"/>
      <c r="K175" s="233"/>
      <c r="L175" s="234" t="e">
        <f>#REF!-#REF!</f>
        <v>#REF!</v>
      </c>
    </row>
    <row r="176" spans="3:15">
      <c r="C176" s="232"/>
      <c r="K176" s="233"/>
      <c r="L176" s="232"/>
      <c r="O176" s="9"/>
    </row>
    <row r="177" spans="3:15">
      <c r="C177" s="232"/>
      <c r="K177" s="233"/>
      <c r="L177" s="232"/>
    </row>
    <row r="178" spans="3:15">
      <c r="C178" s="235" t="s">
        <v>218</v>
      </c>
      <c r="D178" s="236"/>
      <c r="E178" s="236"/>
      <c r="F178" s="236"/>
      <c r="G178" s="236"/>
      <c r="H178" s="236"/>
      <c r="I178" s="236"/>
      <c r="J178" s="236"/>
      <c r="K178" s="237"/>
      <c r="L178" s="235"/>
      <c r="M178" s="236"/>
      <c r="N178" s="236"/>
    </row>
    <row r="179" spans="3:15">
      <c r="C179" s="238"/>
      <c r="D179" s="239"/>
      <c r="E179" s="239"/>
      <c r="F179" s="239"/>
      <c r="G179" s="239"/>
      <c r="H179" s="239"/>
      <c r="I179" s="239"/>
      <c r="J179" s="239"/>
      <c r="K179" s="239"/>
      <c r="L179" s="239"/>
      <c r="M179" s="239"/>
      <c r="N179" s="239"/>
    </row>
    <row r="180" spans="3:15">
      <c r="O180" s="9"/>
    </row>
    <row r="186" spans="3:15">
      <c r="K186" s="1">
        <v>2457389.4</v>
      </c>
    </row>
    <row r="197" spans="12:15">
      <c r="O197" s="9"/>
    </row>
    <row r="201" spans="12:15">
      <c r="L201" s="1">
        <f ca="1">SUM(L151,L152,L155,L158,L162,L163,L164,L166:N173,L179:N181,L184:N186,L189:N190,L192:N195,L199:N200)</f>
        <v>0</v>
      </c>
    </row>
  </sheetData>
  <mergeCells count="279">
    <mergeCell ref="G126:H126"/>
    <mergeCell ref="I126:J126"/>
    <mergeCell ref="K126:L126"/>
    <mergeCell ref="M126:N126"/>
    <mergeCell ref="L173:N173"/>
    <mergeCell ref="G124:H124"/>
    <mergeCell ref="I124:J124"/>
    <mergeCell ref="K124:L124"/>
    <mergeCell ref="M124:N124"/>
    <mergeCell ref="G125:H125"/>
    <mergeCell ref="I125:J125"/>
    <mergeCell ref="K125:L125"/>
    <mergeCell ref="M125:N125"/>
    <mergeCell ref="G122:H122"/>
    <mergeCell ref="I122:J122"/>
    <mergeCell ref="K122:L122"/>
    <mergeCell ref="M122:N122"/>
    <mergeCell ref="G123:H123"/>
    <mergeCell ref="I123:J123"/>
    <mergeCell ref="K123:L123"/>
    <mergeCell ref="M123:N123"/>
    <mergeCell ref="G120:H120"/>
    <mergeCell ref="I120:J120"/>
    <mergeCell ref="K120:L120"/>
    <mergeCell ref="M120:N120"/>
    <mergeCell ref="G121:H121"/>
    <mergeCell ref="I121:J121"/>
    <mergeCell ref="K121:L121"/>
    <mergeCell ref="M121:N121"/>
    <mergeCell ref="G117:H117"/>
    <mergeCell ref="I117:J117"/>
    <mergeCell ref="K117:L117"/>
    <mergeCell ref="M117:N117"/>
    <mergeCell ref="G119:H119"/>
    <mergeCell ref="I119:J119"/>
    <mergeCell ref="K119:L119"/>
    <mergeCell ref="M119:N119"/>
    <mergeCell ref="G115:H115"/>
    <mergeCell ref="I115:J115"/>
    <mergeCell ref="K115:L115"/>
    <mergeCell ref="M115:N115"/>
    <mergeCell ref="G116:H116"/>
    <mergeCell ref="I116:J116"/>
    <mergeCell ref="K116:L116"/>
    <mergeCell ref="M116:N116"/>
    <mergeCell ref="G113:H113"/>
    <mergeCell ref="I113:J113"/>
    <mergeCell ref="K113:L113"/>
    <mergeCell ref="M113:N113"/>
    <mergeCell ref="G114:H114"/>
    <mergeCell ref="I114:J114"/>
    <mergeCell ref="K114:L114"/>
    <mergeCell ref="M114:N114"/>
    <mergeCell ref="G111:H111"/>
    <mergeCell ref="I111:J111"/>
    <mergeCell ref="K111:L111"/>
    <mergeCell ref="M111:N111"/>
    <mergeCell ref="G112:H112"/>
    <mergeCell ref="I112:J112"/>
    <mergeCell ref="K112:L112"/>
    <mergeCell ref="M112:N112"/>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4:H94"/>
    <mergeCell ref="I94:J94"/>
    <mergeCell ref="K94:L94"/>
    <mergeCell ref="M94:N94"/>
    <mergeCell ref="G95:H95"/>
    <mergeCell ref="I95:J95"/>
    <mergeCell ref="K95:L95"/>
    <mergeCell ref="M95:N95"/>
    <mergeCell ref="G92:H92"/>
    <mergeCell ref="I92:J92"/>
    <mergeCell ref="K92:L92"/>
    <mergeCell ref="M92:N92"/>
    <mergeCell ref="G93:H93"/>
    <mergeCell ref="I93:J93"/>
    <mergeCell ref="K93:L93"/>
    <mergeCell ref="M93:N93"/>
    <mergeCell ref="G90:H90"/>
    <mergeCell ref="I90:J90"/>
    <mergeCell ref="K90:L90"/>
    <mergeCell ref="M90:N90"/>
    <mergeCell ref="G91:H91"/>
    <mergeCell ref="I91:J91"/>
    <mergeCell ref="K91:L91"/>
    <mergeCell ref="M91:N91"/>
    <mergeCell ref="G87:H87"/>
    <mergeCell ref="I87:J87"/>
    <mergeCell ref="K87:L87"/>
    <mergeCell ref="M87:N87"/>
    <mergeCell ref="G89:H89"/>
    <mergeCell ref="I89:J89"/>
    <mergeCell ref="K89:L89"/>
    <mergeCell ref="M89:N89"/>
    <mergeCell ref="G85:H85"/>
    <mergeCell ref="I85:J85"/>
    <mergeCell ref="K85:L85"/>
    <mergeCell ref="M85:N85"/>
    <mergeCell ref="G86:H86"/>
    <mergeCell ref="I86:J86"/>
    <mergeCell ref="K86:L86"/>
    <mergeCell ref="M86:N86"/>
    <mergeCell ref="G83:H83"/>
    <mergeCell ref="I83:J83"/>
    <mergeCell ref="K83:L83"/>
    <mergeCell ref="M83:N83"/>
    <mergeCell ref="G84:H84"/>
    <mergeCell ref="I84:J84"/>
    <mergeCell ref="K84:L84"/>
    <mergeCell ref="M84:N84"/>
    <mergeCell ref="C80:N80"/>
    <mergeCell ref="G81:H81"/>
    <mergeCell ref="I81:J81"/>
    <mergeCell ref="K81:L81"/>
    <mergeCell ref="M81:N81"/>
    <mergeCell ref="G82:H82"/>
    <mergeCell ref="I82:J82"/>
    <mergeCell ref="K82:L82"/>
    <mergeCell ref="M82:N82"/>
    <mergeCell ref="F77:H77"/>
    <mergeCell ref="I77:K77"/>
    <mergeCell ref="L77:N77"/>
    <mergeCell ref="F78:H78"/>
    <mergeCell ref="I78:K78"/>
    <mergeCell ref="L78:N78"/>
    <mergeCell ref="F75:H75"/>
    <mergeCell ref="I75:K75"/>
    <mergeCell ref="L75:N75"/>
    <mergeCell ref="F76:H76"/>
    <mergeCell ref="I76:K76"/>
    <mergeCell ref="L76:N76"/>
    <mergeCell ref="F73:H73"/>
    <mergeCell ref="I73:K73"/>
    <mergeCell ref="L73:N73"/>
    <mergeCell ref="F74:H74"/>
    <mergeCell ref="I74:K74"/>
    <mergeCell ref="L74:N74"/>
    <mergeCell ref="F71:H71"/>
    <mergeCell ref="I71:K71"/>
    <mergeCell ref="L71:N71"/>
    <mergeCell ref="F72:H72"/>
    <mergeCell ref="I72:K72"/>
    <mergeCell ref="L72:N72"/>
    <mergeCell ref="C68:N68"/>
    <mergeCell ref="F69:H69"/>
    <mergeCell ref="I69:K69"/>
    <mergeCell ref="L69:N69"/>
    <mergeCell ref="F70:H70"/>
    <mergeCell ref="I70:K70"/>
    <mergeCell ref="L70:N70"/>
    <mergeCell ref="I64:J64"/>
    <mergeCell ref="L64:M64"/>
    <mergeCell ref="I65:J65"/>
    <mergeCell ref="L65:M65"/>
    <mergeCell ref="I66:K66"/>
    <mergeCell ref="L66:N66"/>
    <mergeCell ref="I61:K61"/>
    <mergeCell ref="L61:N61"/>
    <mergeCell ref="I62:J62"/>
    <mergeCell ref="L62:M62"/>
    <mergeCell ref="I63:J63"/>
    <mergeCell ref="L63:M63"/>
    <mergeCell ref="I58:J58"/>
    <mergeCell ref="L58:M58"/>
    <mergeCell ref="I59:J59"/>
    <mergeCell ref="L59:M59"/>
    <mergeCell ref="I60:J60"/>
    <mergeCell ref="L60:M60"/>
    <mergeCell ref="C54:N54"/>
    <mergeCell ref="I55:K55"/>
    <mergeCell ref="L55:N55"/>
    <mergeCell ref="I56:K56"/>
    <mergeCell ref="L56:N56"/>
    <mergeCell ref="I57:K57"/>
    <mergeCell ref="L57:N57"/>
    <mergeCell ref="J47:N47"/>
    <mergeCell ref="J48:M48"/>
    <mergeCell ref="J49:M49"/>
    <mergeCell ref="J50:M50"/>
    <mergeCell ref="C51:N51"/>
    <mergeCell ref="J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 ref="C17:E18"/>
    <mergeCell ref="J17:N17"/>
    <mergeCell ref="J18:N18"/>
  </mergeCells>
  <pageMargins left="0.7" right="0.7" top="0.75" bottom="0.75" header="0.3" footer="0.3"/>
  <pageSetup paperSize="9" scale="57" orientation="portrait" r:id="rId1"/>
  <rowBreaks count="1" manualBreakCount="1">
    <brk id="78" min="1"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9" ma:contentTypeDescription="Create a new document." ma:contentTypeScope="" ma:versionID="8b6363b60981a2f39d195b351b7105e8">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3e84cde6c377d7faf1a79ff6f5a8ac56"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Props1.xml><?xml version="1.0" encoding="utf-8"?>
<ds:datastoreItem xmlns:ds="http://schemas.openxmlformats.org/officeDocument/2006/customXml" ds:itemID="{2C2C1BC4-0493-47DF-B427-AD79DB15B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3AEE98-9DD6-440D-A716-4361B0D0818C}">
  <ds:schemaRefs>
    <ds:schemaRef ds:uri="http://schemas.microsoft.com/sharepoint/v3/contenttype/forms"/>
  </ds:schemaRefs>
</ds:datastoreItem>
</file>

<file path=customXml/itemProps3.xml><?xml version="1.0" encoding="utf-8"?>
<ds:datastoreItem xmlns:ds="http://schemas.openxmlformats.org/officeDocument/2006/customXml" ds:itemID="{3BE7C58A-C330-426B-BC77-A6736CB8B024}">
  <ds:schemaRefs>
    <ds:schemaRef ds:uri="http://schemas.microsoft.com/office/2006/metadata/properties"/>
    <ds:schemaRef ds:uri="http://schemas.microsoft.com/office/infopath/2007/PartnerControls"/>
    <ds:schemaRef ds:uri="a23105ca-3395-4058-8284-88e334f7b956"/>
    <ds:schemaRef ds:uri="18709e2e-4da8-42d3-bf03-d1d83e4744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Admin Report</vt:lpstr>
      <vt:lpstr>Servicer Report</vt:lpstr>
      <vt:lpstr>'Servicer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Louw</dc:creator>
  <cp:lastModifiedBy>Melissa Louw</cp:lastModifiedBy>
  <dcterms:created xsi:type="dcterms:W3CDTF">2026-05-19T10:05:21Z</dcterms:created>
  <dcterms:modified xsi:type="dcterms:W3CDTF">2026-05-19T10:40:49Z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y fmtid="{D5CDD505-2E9C-101B-9397-08002B2CF9AE}" pid="3" name="MediaServiceImageTags">
    <vt:lpwstr/>
  </property>
</Properties>
</file>