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7 FY/Urban Ubomi 1/Investor Report/2. Aug 2026/Workings/"/>
    </mc:Choice>
  </mc:AlternateContent>
  <xr:revisionPtr revIDLastSave="4" documentId="8_{1110AE85-3379-400C-AEC7-2E642935F9B2}" xr6:coauthVersionLast="47" xr6:coauthVersionMax="47" xr10:uidLastSave="{F9194F10-CEDD-482D-B776-BA471C52D93D}"/>
  <bookViews>
    <workbookView xWindow="28680" yWindow="-120" windowWidth="29040" windowHeight="15720" xr2:uid="{59E801A1-24C2-4C9A-BD46-B995E9EF4C0B}"/>
  </bookViews>
  <sheets>
    <sheet name="Admin Report" sheetId="1" r:id="rId1"/>
    <sheet name="Servicer Report" sheetId="2" r:id="rId2"/>
  </sheets>
  <externalReferences>
    <externalReference r:id="rId3"/>
  </externalReference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_xlnm.Print_Area" localSheetId="1">'Servicer Report'!$B$2:$N$127</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26" i="2" l="1"/>
  <c r="M125" i="2"/>
  <c r="M124" i="2"/>
  <c r="M123" i="2"/>
  <c r="M122" i="2"/>
  <c r="K118" i="2"/>
  <c r="M111" i="2" s="1"/>
  <c r="G95" i="2"/>
  <c r="K95" i="2"/>
  <c r="L66" i="2"/>
  <c r="L61" i="2"/>
  <c r="L57" i="2"/>
  <c r="L56" i="2" s="1"/>
  <c r="I57" i="2"/>
  <c r="J82" i="1"/>
  <c r="J33" i="2"/>
  <c r="J92" i="1"/>
  <c r="J91" i="1"/>
  <c r="J90" i="1" s="1"/>
  <c r="J26" i="2"/>
  <c r="J11" i="2"/>
  <c r="J12" i="2" s="1"/>
  <c r="J236" i="1"/>
  <c r="L229" i="1"/>
  <c r="J228" i="1"/>
  <c r="L228" i="1" s="1"/>
  <c r="L225" i="1"/>
  <c r="J224" i="1"/>
  <c r="L224" i="1" s="1"/>
  <c r="L223" i="1"/>
  <c r="H223" i="1"/>
  <c r="G223" i="1"/>
  <c r="J221" i="1"/>
  <c r="M215" i="1"/>
  <c r="M218" i="1" s="1"/>
  <c r="J209" i="1"/>
  <c r="J103" i="1" s="1"/>
  <c r="J205" i="1"/>
  <c r="L200" i="1"/>
  <c r="L199" i="1"/>
  <c r="L198" i="1"/>
  <c r="L197" i="1"/>
  <c r="L194" i="1"/>
  <c r="L193" i="1"/>
  <c r="L192" i="1"/>
  <c r="L191" i="1"/>
  <c r="L190" i="1"/>
  <c r="H190" i="1"/>
  <c r="L189" i="1"/>
  <c r="L188" i="1"/>
  <c r="L186" i="1" s="1"/>
  <c r="L187" i="1"/>
  <c r="H186" i="1"/>
  <c r="L185" i="1"/>
  <c r="L184" i="1"/>
  <c r="L183" i="1"/>
  <c r="L182" i="1"/>
  <c r="L181" i="1"/>
  <c r="H181" i="1"/>
  <c r="L180" i="1"/>
  <c r="L178" i="1"/>
  <c r="L177" i="1"/>
  <c r="L176" i="1"/>
  <c r="L174" i="1"/>
  <c r="L171" i="1"/>
  <c r="L170" i="1"/>
  <c r="L169" i="1"/>
  <c r="L163" i="1"/>
  <c r="L162" i="1"/>
  <c r="L161" i="1"/>
  <c r="H158" i="1"/>
  <c r="L159" i="1"/>
  <c r="L157" i="1"/>
  <c r="L156" i="1"/>
  <c r="H152" i="1"/>
  <c r="L153" i="1"/>
  <c r="L151" i="1"/>
  <c r="J110" i="1"/>
  <c r="J108" i="1"/>
  <c r="J94" i="1"/>
  <c r="J83" i="1"/>
  <c r="J80" i="1"/>
  <c r="J76" i="1"/>
  <c r="J73" i="1"/>
  <c r="J72" i="1"/>
  <c r="J67" i="1"/>
  <c r="J64" i="1"/>
  <c r="J59" i="1"/>
  <c r="J51" i="1"/>
  <c r="K50" i="1"/>
  <c r="L50" i="1" s="1"/>
  <c r="M44" i="1"/>
  <c r="L44" i="1"/>
  <c r="K44" i="1"/>
  <c r="I44" i="1"/>
  <c r="H44" i="1"/>
  <c r="G44" i="1"/>
  <c r="I42" i="1"/>
  <c r="H42" i="1"/>
  <c r="G42" i="1"/>
  <c r="L38" i="1"/>
  <c r="K38" i="1"/>
  <c r="J38" i="1"/>
  <c r="M38" i="1"/>
  <c r="M36" i="1"/>
  <c r="L36" i="1"/>
  <c r="K36" i="1"/>
  <c r="J36" i="1"/>
  <c r="M30" i="1"/>
  <c r="L30" i="1"/>
  <c r="K30" i="1"/>
  <c r="J30" i="1"/>
  <c r="J40" i="1" s="1"/>
  <c r="M28" i="1"/>
  <c r="L28" i="1"/>
  <c r="K28" i="1"/>
  <c r="J28" i="1"/>
  <c r="J15" i="1"/>
  <c r="J16" i="1" s="1"/>
  <c r="J12" i="1"/>
  <c r="K40" i="1" l="1"/>
  <c r="H166" i="1" s="1"/>
  <c r="L166" i="1" s="1"/>
  <c r="K51" i="1"/>
  <c r="M109" i="2"/>
  <c r="M102" i="2"/>
  <c r="M108" i="2"/>
  <c r="M103" i="2"/>
  <c r="I109" i="2"/>
  <c r="M114" i="2"/>
  <c r="J71" i="1"/>
  <c r="J38" i="2"/>
  <c r="I91" i="2"/>
  <c r="I94" i="2"/>
  <c r="L71" i="2" s="1"/>
  <c r="J232" i="1"/>
  <c r="J231" i="1"/>
  <c r="M104" i="2"/>
  <c r="M115" i="2"/>
  <c r="J41" i="1"/>
  <c r="J42" i="1"/>
  <c r="H165" i="1"/>
  <c r="M91" i="2"/>
  <c r="M99" i="2"/>
  <c r="K41" i="1"/>
  <c r="K42" i="1" s="1"/>
  <c r="I92" i="2"/>
  <c r="M105" i="2"/>
  <c r="M92" i="2"/>
  <c r="L51" i="1"/>
  <c r="M50" i="1"/>
  <c r="M51" i="1" s="1"/>
  <c r="J87" i="1"/>
  <c r="M100" i="2"/>
  <c r="M106" i="2"/>
  <c r="M117" i="2"/>
  <c r="J47" i="2"/>
  <c r="I61" i="2"/>
  <c r="I56" i="2" s="1"/>
  <c r="M112" i="2"/>
  <c r="M94" i="2"/>
  <c r="M101" i="2"/>
  <c r="M121" i="2"/>
  <c r="M126" i="2" s="1"/>
  <c r="L40" i="1"/>
  <c r="L154" i="1"/>
  <c r="L152" i="1" s="1"/>
  <c r="M40" i="1"/>
  <c r="J62" i="1"/>
  <c r="J60" i="1" s="1"/>
  <c r="J100" i="1" s="1"/>
  <c r="H155" i="1"/>
  <c r="L160" i="1"/>
  <c r="L158" i="1" s="1"/>
  <c r="J102" i="1"/>
  <c r="H172" i="1"/>
  <c r="L172" i="1" s="1"/>
  <c r="M98" i="2"/>
  <c r="M116" i="2"/>
  <c r="H179" i="1"/>
  <c r="L179" i="1" s="1"/>
  <c r="I93" i="2"/>
  <c r="G126" i="2"/>
  <c r="I121" i="2" s="1"/>
  <c r="L155" i="1"/>
  <c r="J29" i="2"/>
  <c r="M93" i="2"/>
  <c r="M113" i="2"/>
  <c r="J18" i="1"/>
  <c r="I90" i="2"/>
  <c r="M90" i="2"/>
  <c r="M110" i="2"/>
  <c r="G118" i="2"/>
  <c r="I107" i="2" s="1"/>
  <c r="M107" i="2"/>
  <c r="I101" i="2" l="1"/>
  <c r="I124" i="2"/>
  <c r="M118" i="2"/>
  <c r="H196" i="1"/>
  <c r="I111" i="2"/>
  <c r="I114" i="2"/>
  <c r="I117" i="2"/>
  <c r="I106" i="2"/>
  <c r="I99" i="2"/>
  <c r="I102" i="2"/>
  <c r="I105" i="2"/>
  <c r="I108" i="2"/>
  <c r="I122" i="2"/>
  <c r="I125" i="2"/>
  <c r="H164" i="1"/>
  <c r="L165" i="1"/>
  <c r="L164" i="1" s="1"/>
  <c r="M95" i="2"/>
  <c r="I113" i="2"/>
  <c r="H168" i="1"/>
  <c r="L168" i="1" s="1"/>
  <c r="M41" i="1"/>
  <c r="M42" i="1" s="1"/>
  <c r="I103" i="2"/>
  <c r="I116" i="2"/>
  <c r="I123" i="2"/>
  <c r="I110" i="2"/>
  <c r="I98" i="2"/>
  <c r="I112" i="2"/>
  <c r="I115" i="2"/>
  <c r="I95" i="2"/>
  <c r="J45" i="2"/>
  <c r="J81" i="1"/>
  <c r="I100" i="2"/>
  <c r="I104" i="2"/>
  <c r="H167" i="1"/>
  <c r="L167" i="1" s="1"/>
  <c r="L41" i="1"/>
  <c r="L42" i="1" s="1"/>
  <c r="I126" i="2" l="1"/>
  <c r="H195" i="1"/>
  <c r="L196" i="1"/>
  <c r="J79" i="1"/>
  <c r="J70" i="1" s="1"/>
  <c r="J101" i="1" s="1"/>
  <c r="J99" i="1" s="1"/>
  <c r="J107" i="1"/>
  <c r="J106" i="1" s="1"/>
  <c r="I118" i="2"/>
  <c r="J151" i="1" l="1"/>
  <c r="J234" i="1"/>
  <c r="J235" i="1" s="1"/>
  <c r="J238" i="1" s="1"/>
  <c r="L195" i="1"/>
  <c r="H175" i="1"/>
  <c r="J115" i="1"/>
  <c r="J152" i="1" l="1"/>
  <c r="J201" i="1"/>
  <c r="L201" i="1" s="1"/>
  <c r="H173" i="1"/>
  <c r="J43" i="1"/>
  <c r="L175" i="1"/>
  <c r="L173" i="1" s="1"/>
  <c r="J155" i="1" l="1"/>
  <c r="J154" i="1"/>
  <c r="J153" i="1"/>
  <c r="J44" i="1"/>
  <c r="H201" i="1"/>
  <c r="J45" i="1" l="1"/>
  <c r="J19" i="1"/>
  <c r="M45" i="1"/>
  <c r="L45" i="1"/>
  <c r="K45" i="1"/>
  <c r="J157" i="1"/>
  <c r="J156" i="1"/>
  <c r="J158" i="1"/>
  <c r="J159" i="1" l="1"/>
  <c r="J162" i="1"/>
  <c r="J163" i="1" s="1"/>
  <c r="J164" i="1" s="1"/>
  <c r="J161" i="1"/>
  <c r="J160" i="1"/>
  <c r="M47" i="1"/>
  <c r="L47" i="1"/>
  <c r="K47" i="1"/>
  <c r="J47" i="1"/>
  <c r="J166" i="1" l="1"/>
  <c r="J167" i="1" s="1"/>
  <c r="J168" i="1" s="1"/>
  <c r="J169" i="1" s="1"/>
  <c r="J170" i="1" s="1"/>
  <c r="J165" i="1"/>
  <c r="J116" i="1" l="1"/>
  <c r="J117" i="1" s="1"/>
  <c r="J171" i="1"/>
  <c r="J172" i="1" s="1"/>
  <c r="J173" i="1" l="1"/>
  <c r="J177" i="1"/>
  <c r="J179" i="1" l="1"/>
  <c r="J180" i="1" s="1"/>
  <c r="J181" i="1" s="1"/>
  <c r="J175" i="1"/>
  <c r="J176" i="1"/>
  <c r="J174" i="1"/>
  <c r="J178" i="1"/>
  <c r="J183" i="1" l="1"/>
  <c r="J184" i="1"/>
  <c r="J185" i="1" s="1"/>
  <c r="J182" i="1"/>
  <c r="J186" i="1" l="1"/>
  <c r="J189" i="1"/>
  <c r="J190" i="1" s="1"/>
  <c r="J188" i="1" l="1"/>
  <c r="J187" i="1"/>
  <c r="J192" i="1"/>
  <c r="J193" i="1" s="1"/>
  <c r="J194" i="1" s="1"/>
  <c r="J195" i="1" s="1"/>
  <c r="J191" i="1"/>
  <c r="J199" i="1" l="1"/>
  <c r="J200" i="1" s="1"/>
  <c r="J198" i="1"/>
  <c r="J196" i="1"/>
  <c r="J197" i="1" s="1"/>
  <c r="K86" i="2" l="1"/>
  <c r="K85" i="2"/>
  <c r="K84" i="2"/>
  <c r="K82" i="2"/>
  <c r="K83" i="2"/>
  <c r="K87" i="2" l="1"/>
  <c r="M84" i="2" s="1"/>
  <c r="M82" i="2"/>
  <c r="M85" i="2"/>
  <c r="M86" i="2"/>
  <c r="M83" i="2" l="1"/>
  <c r="M87" i="2" s="1"/>
  <c r="G86" i="2" l="1"/>
  <c r="G85" i="2"/>
  <c r="G84" i="2"/>
  <c r="G83" i="2"/>
  <c r="G82" i="2" l="1"/>
  <c r="G87" i="2" s="1"/>
  <c r="I82" i="2" s="1"/>
  <c r="I85" i="2" l="1"/>
  <c r="I83" i="2"/>
  <c r="I86" i="2"/>
  <c r="I84" i="2"/>
  <c r="I8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tc={B6BED1FE-36AA-4F1F-91FE-8C068BD926A0}</author>
    <author>tc={89693A44-BC43-468C-B2BE-28546E9D45D6}</author>
    <author>tc={0B56E11F-E09B-4013-A9CE-B0FDCFD18E3D}</author>
    <author>tc={C71F54B8-4D5E-4B36-93B1-41E90555C1EF}</author>
    <author>tc={91ED7932-9D02-40F6-B1EF-758BF56CD770}</author>
    <author>tc={E5A0A77D-A66C-4C0A-A0DD-3EEA94E3EF8D}</author>
    <author>tc={FB887DB7-5894-4266-BCA2-43C827CB3C37}</author>
    <author>tc={F8F32C19-0297-4D9A-B48A-3C8EAEC2CD41}</author>
    <author>tc={A043845F-13BF-49F7-AE78-3878C836E463}</author>
    <author>tc={CC81A2F6-82BE-472D-B1A4-2AF5185CADDF}</author>
    <author>tc={4431D3AC-B85C-4A22-981D-9ED3D599847F}</author>
    <author>tc={BE466194-CC0A-471E-BD01-A93C7631F58D}</author>
    <author>tc={15DA4B46-80CD-4F71-8B47-E54BAC987528}</author>
    <author>tc={CA1EFA49-14E7-4E11-A3C0-40EE8909ADAA}</author>
    <author>tc={60B04D08-161F-4706-AEA3-ADA8004AF113}</author>
    <author>tc={452076DF-2671-434B-894E-940B3B5ABEB2}</author>
    <author>tc={5A52243A-1885-45A2-A1C6-80119C36A943}</author>
    <author>tc={598701B3-C944-484F-BFD9-D1B44B6B31D2}</author>
    <author>tc={7C6B7F09-C0F2-462D-97A7-012C5257D214}</author>
    <author>tc={3A34F79C-C1B6-4269-94C8-A4B6B2F54517}</author>
    <author>tc={DBC33822-6E29-417E-8F4C-8B8C80A95848}</author>
    <author>tc={7990C812-9EC1-453C-A2BB-F83946978D57}</author>
    <author>tc={57C6C293-5570-45A7-B944-4DADE5E7034B}</author>
    <author>tc={33BF97E5-3B8E-45CE-9943-EE6B91F48BCB}</author>
    <author>tc={1F0677AF-EAE5-48E4-9314-C53F7B3F0EEA}</author>
    <author>tc={DAF22A5E-A135-4C19-B539-2591991155B6}</author>
    <author>tc={5FF26DAD-2528-4EAC-A97B-0B7CEA005726}</author>
    <author>tc={45BD31DE-1A00-4898-B123-57D9083DF24B}</author>
    <author>tc={77C0A75B-05FB-4530-B1AD-208D8AD0DDDA}</author>
    <author>tc={D9CE0C69-CBB4-4FA7-8256-3FA2DA624591}</author>
  </authors>
  <commentList>
    <comment ref="C8" authorId="0" shapeId="0" xr:uid="{B6BED1FE-36AA-4F1F-91FE-8C068BD926A0}">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89693A44-BC43-468C-B2BE-28546E9D45D6}">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0B56E11F-E09B-4013-A9CE-B0FDCFD18E3D}">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71" authorId="3" shapeId="0" xr:uid="{C71F54B8-4D5E-4B36-93B1-41E90555C1EF}">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72" authorId="4" shapeId="0" xr:uid="{91ED7932-9D02-40F6-B1EF-758BF56CD770}">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6" authorId="5" shapeId="0" xr:uid="{E5A0A77D-A66C-4C0A-A0DD-3EEA94E3EF8D}">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7" authorId="6" shapeId="0" xr:uid="{FB887DB7-5894-4266-BCA2-43C827CB3C37}">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6" authorId="7" shapeId="0" xr:uid="{F8F32C19-0297-4D9A-B48A-3C8EAEC2CD41}">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7" authorId="8" shapeId="0" xr:uid="{A043845F-13BF-49F7-AE78-3878C836E463}">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21" authorId="9" shapeId="0" xr:uid="{CC81A2F6-82BE-472D-B1A4-2AF5185CADDF}">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22" authorId="10" shapeId="0" xr:uid="{4431D3AC-B85C-4A22-981D-9ED3D599847F}">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8" authorId="11" shapeId="0" xr:uid="{BE466194-CC0A-471E-BD01-A93C7631F58D}">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7" authorId="12" shapeId="0" xr:uid="{15DA4B46-80CD-4F71-8B47-E54BAC987528}">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46" authorId="13" shapeId="0" xr:uid="{CA1EFA49-14E7-4E11-A3C0-40EE8909ADAA}">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47" authorId="14" shapeId="0" xr:uid="{60B04D08-161F-4706-AEA3-ADA8004AF113}">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51" authorId="15" shapeId="0" xr:uid="{452076DF-2671-434B-894E-940B3B5ABEB2}">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52" authorId="16" shapeId="0" xr:uid="{5A52243A-1885-45A2-A1C6-80119C36A943}">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55" authorId="17" shapeId="0" xr:uid="{598701B3-C944-484F-BFD9-D1B44B6B31D2}">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58" authorId="18" shapeId="0" xr:uid="{7C6B7F09-C0F2-462D-97A7-012C5257D214}">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62" authorId="19" shapeId="0" xr:uid="{3A34F79C-C1B6-4269-94C8-A4B6B2F54517}">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63" authorId="20" shapeId="0" xr:uid="{DBC33822-6E29-417E-8F4C-8B8C80A95848}">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64" authorId="21" shapeId="0" xr:uid="{7990C812-9EC1-453C-A2BB-F83946978D57}">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66" authorId="22" shapeId="0" xr:uid="{57C6C293-5570-45A7-B944-4DADE5E7034B}">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67" authorId="23" shapeId="0" xr:uid="{33BF97E5-3B8E-45CE-9943-EE6B91F48BCB}">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68" authorId="24" shapeId="0" xr:uid="{1F0677AF-EAE5-48E4-9314-C53F7B3F0EEA}">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69" authorId="25" shapeId="0" xr:uid="{DAF22A5E-A135-4C19-B539-2591991155B6}">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70" authorId="26" shapeId="0" xr:uid="{5FF26DAD-2528-4EAC-A97B-0B7CEA005726}">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71" authorId="27" shapeId="0" xr:uid="{45BD31DE-1A00-4898-B123-57D9083DF24B}">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72" authorId="28" shapeId="0" xr:uid="{77C0A75B-05FB-4530-B1AD-208D8AD0DDDA}">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73" authorId="29" shapeId="0" xr:uid="{D9CE0C69-CBB4-4FA7-8256-3FA2DA624591}">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List>
</comments>
</file>

<file path=xl/sharedStrings.xml><?xml version="1.0" encoding="utf-8"?>
<sst xmlns="http://schemas.openxmlformats.org/spreadsheetml/2006/main" count="467" uniqueCount="347">
  <si>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</si>
  <si>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</si>
  <si>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</si>
  <si>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</si>
  <si>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</si>
  <si>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</si>
  <si>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</si>
  <si>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</si>
  <si>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</si>
  <si>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</si>
  <si>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</si>
  <si>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</si>
  <si>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</si>
  <si>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</si>
  <si>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</si>
  <si>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</si>
  <si>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</si>
  <si>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Capital Services Pty Ltd</t>
  </si>
  <si>
    <t>Note Breakdown</t>
  </si>
  <si>
    <t xml:space="preserve">Class </t>
  </si>
  <si>
    <t>Class A2</t>
  </si>
  <si>
    <t>Class B</t>
  </si>
  <si>
    <t>Class C</t>
  </si>
  <si>
    <t>Class D</t>
  </si>
  <si>
    <t>ISIN Code</t>
  </si>
  <si>
    <t>ZAG000223405</t>
  </si>
  <si>
    <t>ZAG000223389</t>
  </si>
  <si>
    <t>ZAG000223371</t>
  </si>
  <si>
    <t>ZAG000223363</t>
  </si>
  <si>
    <t>JSE Listing Code</t>
  </si>
  <si>
    <t>UU1A05</t>
  </si>
  <si>
    <t>UU1A11</t>
  </si>
  <si>
    <t>UU1A13</t>
  </si>
  <si>
    <t>UU1A14</t>
  </si>
  <si>
    <t>UU1B05</t>
  </si>
  <si>
    <t>UU1C05</t>
  </si>
  <si>
    <t>UU1D01</t>
  </si>
  <si>
    <t>Rate type</t>
  </si>
  <si>
    <t>Floating</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</si>
  <si>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</si>
  <si>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</si>
  <si>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</si>
  <si>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</si>
  <si>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</si>
  <si>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</si>
  <si>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</si>
  <si>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</si>
  <si>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 (Latest)</t>
  </si>
  <si>
    <t>Outstanding Principal Amount following Refinancing Date</t>
  </si>
  <si>
    <t>% of Notes at Refinance Date</t>
  </si>
  <si>
    <t>% of Assets at Refinance Date</t>
  </si>
  <si>
    <t>Total CE as % of Assets at Refinance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</si>
  <si>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</si>
  <si>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</si>
  <si>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</si>
  <si>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</si>
  <si>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</si>
  <si>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</si>
  <si>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</si>
  <si>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</si>
  <si>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</si>
  <si>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</si>
  <si>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</si>
  <si>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</si>
  <si>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</si>
  <si>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</si>
  <si>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AA+(za)(sf)</t>
  </si>
  <si>
    <t>AAA(za)(sf)</t>
  </si>
  <si>
    <t>A+(za)(sf)</t>
  </si>
  <si>
    <t>BBB+(za)(sf)</t>
  </si>
  <si>
    <t>Unrated</t>
  </si>
  <si>
    <t>Rating on IPD</t>
  </si>
  <si>
    <t>Withdrawn (Paid in full)</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</si>
  <si>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</si>
  <si>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</si>
  <si>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</si>
  <si>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</si>
  <si>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</si>
  <si>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</si>
  <si>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</si>
  <si>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</si>
  <si>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</si>
  <si>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</si>
  <si>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</si>
  <si>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</si>
  <si>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</si>
  <si>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</si>
  <si>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</si>
  <si>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</si>
  <si>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</si>
  <si>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</si>
  <si>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</si>
  <si>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</si>
  <si>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</si>
  <si>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</si>
  <si>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</si>
  <si>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</si>
  <si>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</si>
  <si>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</si>
  <si>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</si>
  <si>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</si>
  <si>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</si>
  <si>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</si>
  <si>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</si>
  <si>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</si>
  <si>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</si>
  <si>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</si>
  <si>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</si>
  <si>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</si>
  <si>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</si>
  <si>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</si>
  <si>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</si>
  <si>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</si>
  <si>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</si>
  <si>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</si>
  <si>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</si>
  <si>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</si>
  <si>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</si>
  <si>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</si>
  <si>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</si>
  <si>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</si>
  <si>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</si>
  <si>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</si>
  <si>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</si>
  <si>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</si>
  <si>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</si>
  <si>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</si>
  <si>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</si>
  <si>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</si>
  <si>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</si>
  <si>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</si>
  <si>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</si>
  <si>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</si>
  <si>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</si>
  <si>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</si>
  <si>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</si>
  <si>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</si>
  <si>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</si>
  <si>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</si>
  <si>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</si>
  <si>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</si>
  <si>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</si>
  <si>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</si>
  <si>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</si>
  <si>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</si>
  <si>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</si>
  <si>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 Class C and Class D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</si>
  <si>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</si>
  <si>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</si>
  <si>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</si>
  <si>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Class C and Class D less than 2 times of single Borrower (Y/N) </t>
  </si>
  <si>
    <t>Arrears Reserve not funded to Arrears Reserve Required Amount on immediately preceding IPD (Y/N)</t>
  </si>
  <si>
    <t>Class B Principal Lock-Out on IPD (Y/N)</t>
  </si>
  <si>
    <t>Class B Notes Outstanding (Y/N) and</t>
  </si>
  <si>
    <t>Is Class C and Class D ratio &lt; 2x ratio as at latest Issue Date (Y/N); or</t>
  </si>
  <si>
    <t xml:space="preserve">Outstanding Principal Amount of Class C and Class D less than 2 times of single Borrower (Y/N) </t>
  </si>
  <si>
    <t>Class C Principal Lock-Out on IPD (Y/N)</t>
  </si>
  <si>
    <t>Class D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</si>
  <si>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</si>
  <si>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</si>
  <si>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</si>
  <si>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</si>
  <si>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</si>
  <si>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</si>
  <si>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</si>
  <si>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</si>
  <si>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</si>
  <si>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</si>
  <si>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</si>
  <si>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</si>
  <si>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</si>
  <si>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</si>
  <si>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</si>
  <si>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</si>
  <si>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</si>
  <si>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</si>
  <si>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</si>
  <si>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1.7.1 Class A14</t>
  </si>
  <si>
    <t>1.8 Class B (other than principal) if no Class B IDE</t>
  </si>
  <si>
    <t>1.9 Class C (other than principal) if no Class C IDE</t>
  </si>
  <si>
    <t>1.10 Class D (other than principal) if no Class D IDE</t>
  </si>
  <si>
    <t>1.11 Liquidity Facility principal (not applicable)</t>
  </si>
  <si>
    <t xml:space="preserve">1.12 Redraws and Re-Advances </t>
  </si>
  <si>
    <t xml:space="preserve">1.13 Further Advances and Additional Assets </t>
  </si>
  <si>
    <t xml:space="preserve">1.14 Capital Reserve </t>
  </si>
  <si>
    <t xml:space="preserve">1.15 Redemption of Notes if Class A outstanding </t>
  </si>
  <si>
    <t xml:space="preserve">Class A Redemption Amount </t>
  </si>
  <si>
    <t>Class A2 (and/or equivalent notes)</t>
  </si>
  <si>
    <t>Class B Redemption Amount</t>
  </si>
  <si>
    <t>Class C Redemption Amount</t>
  </si>
  <si>
    <t>Class D Redemption Amount</t>
  </si>
  <si>
    <t>1.16 Arrears Reserve top up if Class A Outstanding</t>
  </si>
  <si>
    <t>1.17 Class B (other than principal) if Class B IDE</t>
  </si>
  <si>
    <t>1.18 Redemption of Notes if no Class A but Class B outstanding</t>
  </si>
  <si>
    <t>1.19 Arrears Reserve top up if no Class A Outstanding</t>
  </si>
  <si>
    <t>1.20 Class C (other than principal) if Class C IDE</t>
  </si>
  <si>
    <t>1.21 Redemption of Notes if no Class B but Class C outstanding</t>
  </si>
  <si>
    <t>1.22 Class D (other than principal) if Class D IDE</t>
  </si>
  <si>
    <t>1.23 Redemption of Notes if no Class C but Class D outstanding</t>
  </si>
  <si>
    <t xml:space="preserve">1.24 Derivative Termination Amounts </t>
  </si>
  <si>
    <t>1.25 Redemption of the Notes if after Latest Coupon Step-Up Date</t>
  </si>
  <si>
    <t>1.26 Subordinated Derivative net settlements and Derivative Termination Amounts</t>
  </si>
  <si>
    <t xml:space="preserve">1.27 Subordinated Loan </t>
  </si>
  <si>
    <t xml:space="preserve">Interest </t>
  </si>
  <si>
    <t>Deferred Interest</t>
  </si>
  <si>
    <t xml:space="preserve">Principal </t>
  </si>
  <si>
    <t>1.28 Dividend to Preference Shareholder</t>
  </si>
  <si>
    <t>1.29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</si>
  <si>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</si>
  <si>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</si>
  <si>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</si>
  <si>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</si>
  <si>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</si>
  <si>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</si>
  <si>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</si>
  <si>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</si>
  <si>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</si>
  <si>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</si>
  <si>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</si>
  <si>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</si>
  <si>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</si>
  <si>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</si>
  <si>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</si>
  <si>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</si>
  <si>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</si>
  <si>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</si>
  <si>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</si>
  <si>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</si>
  <si>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</si>
  <si>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</si>
  <si>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</si>
  <si>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</si>
  <si>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Advance 1</t>
  </si>
  <si>
    <t>Advance 2</t>
  </si>
  <si>
    <t>Advance 3</t>
  </si>
  <si>
    <t>Subordinated Loans Repayments during IP</t>
  </si>
  <si>
    <t>Repayment 1</t>
  </si>
  <si>
    <t>Repayment 2</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</si>
  <si>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</si>
  <si>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</si>
  <si>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</si>
  <si>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</si>
  <si>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</si>
  <si>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</si>
  <si>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</si>
  <si>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</si>
  <si>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</si>
  <si>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</si>
  <si>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</si>
  <si>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</si>
  <si>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</si>
  <si>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</si>
  <si>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</si>
  <si>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</si>
  <si>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</si>
  <si>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</si>
  <si>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</si>
  <si>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</si>
  <si>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</si>
  <si>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</si>
  <si>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</si>
  <si>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</si>
  <si>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</si>
  <si>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</si>
  <si>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</si>
  <si>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</si>
  <si>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</si>
  <si>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</si>
  <si>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</si>
  <si>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</si>
  <si>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</si>
  <si>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</si>
  <si>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</si>
  <si>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</si>
  <si>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</si>
  <si>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</si>
  <si>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</si>
  <si>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</si>
  <si>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</si>
  <si>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</si>
  <si>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</si>
  <si>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</si>
  <si>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</si>
  <si>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</si>
  <si>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</si>
  <si>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</si>
  <si>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</si>
  <si>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 xml:space="preserve"> Portfolio Management</t>
  </si>
  <si>
    <t>Loans no longer eligible</t>
  </si>
  <si>
    <t>Performance related - Arrears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</si>
  <si>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</si>
  <si>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</si>
  <si>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</si>
  <si>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</si>
  <si>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</si>
  <si>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</si>
  <si>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</si>
  <si>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</si>
  <si>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</si>
  <si>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</si>
  <si>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</si>
  <si>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</si>
  <si>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</si>
  <si>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</si>
  <si>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</si>
  <si>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</si>
  <si>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</si>
  <si>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</si>
  <si>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</si>
  <si>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</si>
  <si>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</si>
  <si>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</si>
  <si>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</si>
  <si>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</si>
  <si>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</si>
  <si>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</si>
  <si>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</si>
  <si>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</si>
  <si>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</si>
  <si>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</si>
  <si>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</si>
  <si>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</si>
  <si>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</si>
  <si>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Province</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</si>
  <si>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</si>
  <si>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</si>
  <si>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</si>
  <si>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</si>
  <si>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</si>
  <si>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</si>
  <si>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</si>
  <si>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</si>
  <si>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</si>
  <si>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</si>
  <si>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</si>
  <si>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</si>
  <si>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</si>
  <si>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</si>
  <si>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</si>
  <si>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 xml:space="preserve">70% + </t>
  </si>
  <si>
    <t>Loan Commencement Date</t>
  </si>
  <si>
    <t>Current Participating Asset Margin Over Jibar</t>
  </si>
  <si>
    <t>&lt; =6%</t>
  </si>
  <si>
    <t>&lt; =7%</t>
  </si>
  <si>
    <t>&lt; =8%</t>
  </si>
  <si>
    <t>&lt; =9%</t>
  </si>
  <si>
    <t>&lt;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</si>
</sst>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00%"/>
    <numFmt numFmtId="166" formatCode="#,##0_);\(#,##0\);&quot;-  &quot;;&quot; &quot;@&quot; &quot;"/>
    <numFmt numFmtId="167" formatCode="_(* #,##0_);_(* \(#,##0\);_(* &quot;-&quot;??_);_(@_)"/>
  </numFmts>
  <fonts count="14">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u/>
      <sz val="11"/>
      <color theme="1"/>
      <name val="Calibri (Body)"/>
    </font>
    <font>
      <b/>
      <i/>
      <sz val="11"/>
      <color theme="1"/>
      <name val="Calibri"/>
      <family val="2"/>
      <scheme val="minor"/>
    </font>
    <font>
      <b/>
      <i/>
      <sz val="11"/>
      <name val="Calibri"/>
      <family val="2"/>
      <scheme val="minor"/>
    </font>
    <font>
      <sz val="11"/>
      <color theme="1"/>
      <name val="Calibri"/>
      <family val="2"/>
    </font>
    <font>
      <b/>
      <sz val="11"/>
      <color theme="1"/>
      <name val="Calibri"/>
      <family val="2"/>
    </font>
  </fonts>
  <fills count="10">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44">
    <xf numFmtId="0" fontId="0" fillId="0" borderId="0" xfId="0"/>
    <xf numFmtId="0" fontId="0" fillId="2" borderId="0" xfId="0" applyFill="1"/>
    <xf numFmtId="0" fontId="0" fillId="0" borderId="1" xfId="0" applyBorder="1"/>
    <xf numFmtId="0" fontId="0" fillId="0" borderId="2" xfId="0" applyBorder="1"/>
    <xf numFmtId="0" fontId="0" fillId="3" borderId="3" xfId="0" applyFill="1" applyBorder="1"/>
    <xf numFmtId="0" fontId="0" fillId="3" borderId="0" xfId="0" applyFill="1"/>
    <xf numFmtId="0" fontId="0" fillId="3" borderId="1" xfId="0" applyFill="1" applyBorder="1"/>
    <xf numFmtId="0" fontId="0" fillId="3" borderId="2"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2" fillId="5" borderId="16" xfId="0" applyFont="1" applyFill="1" applyBorder="1" applyAlignment="1">
      <alignment horizontal="left"/>
    </xf>
    <xf numFmtId="0" fontId="2" fillId="5" borderId="17" xfId="0" applyFont="1" applyFill="1" applyBorder="1" applyAlignment="1">
      <alignment horizontal="left"/>
    </xf>
    <xf numFmtId="0" fontId="2" fillId="5" borderId="21" xfId="0" applyFont="1" applyFill="1" applyBorder="1" applyAlignment="1">
      <alignment horizontal="left"/>
    </xf>
    <xf numFmtId="0" fontId="2" fillId="5" borderId="17" xfId="0" applyFont="1" applyFill="1" applyBorder="1"/>
    <xf numFmtId="0" fontId="2" fillId="5" borderId="21" xfId="0" applyFont="1" applyFill="1" applyBorder="1" applyAlignment="1">
      <alignment horizontal="left" vertical="center"/>
    </xf>
    <xf numFmtId="0" fontId="2" fillId="5" borderId="25" xfId="0" applyFont="1" applyFill="1" applyBorder="1" applyAlignment="1">
      <alignment horizontal="left" vertical="center"/>
    </xf>
    <xf numFmtId="0" fontId="2" fillId="5" borderId="26" xfId="0" applyFont="1" applyFill="1" applyBorder="1" applyAlignment="1">
      <alignment horizontal="left" vertical="center"/>
    </xf>
    <xf numFmtId="0" fontId="2" fillId="6" borderId="12" xfId="0" applyFont="1" applyFill="1" applyBorder="1"/>
    <xf numFmtId="0" fontId="2" fillId="6" borderId="13" xfId="0" applyFont="1" applyFill="1" applyBorder="1"/>
    <xf numFmtId="0" fontId="2" fillId="6" borderId="33" xfId="0" applyFont="1" applyFill="1" applyBorder="1"/>
    <xf numFmtId="0" fontId="2" fillId="5" borderId="22" xfId="0" applyFont="1" applyFill="1" applyBorder="1" applyAlignment="1">
      <alignment horizontal="left"/>
    </xf>
    <xf numFmtId="0" fontId="2" fillId="5" borderId="34" xfId="0" applyFont="1" applyFill="1" applyBorder="1"/>
    <xf numFmtId="0" fontId="2" fillId="5" borderId="19" xfId="0" applyFont="1" applyFill="1" applyBorder="1"/>
    <xf numFmtId="0" fontId="6" fillId="0" borderId="34" xfId="0" applyFont="1" applyBorder="1" applyAlignment="1">
      <alignment horizontal="center"/>
    </xf>
    <xf numFmtId="0" fontId="6" fillId="0" borderId="19" xfId="0" applyFont="1" applyBorder="1" applyAlignment="1">
      <alignment horizontal="center"/>
    </xf>
    <xf numFmtId="10" fontId="7" fillId="0" borderId="34" xfId="0" applyNumberFormat="1" applyFont="1" applyBorder="1"/>
    <xf numFmtId="10" fontId="7" fillId="0" borderId="34" xfId="2" applyNumberFormat="1" applyFont="1" applyFill="1" applyBorder="1" applyAlignment="1"/>
    <xf numFmtId="10" fontId="7" fillId="0" borderId="19" xfId="2" applyNumberFormat="1" applyFont="1" applyFill="1" applyBorder="1" applyAlignment="1"/>
    <xf numFmtId="10" fontId="7" fillId="0" borderId="19" xfId="0" applyNumberFormat="1" applyFont="1" applyBorder="1"/>
    <xf numFmtId="165" fontId="7" fillId="0" borderId="34" xfId="0" applyNumberFormat="1" applyFont="1" applyBorder="1"/>
    <xf numFmtId="165" fontId="7" fillId="0" borderId="34" xfId="2" applyNumberFormat="1" applyFont="1" applyFill="1" applyBorder="1" applyAlignment="1"/>
    <xf numFmtId="165" fontId="7" fillId="0" borderId="19" xfId="2" applyNumberFormat="1" applyFont="1" applyFill="1" applyBorder="1" applyAlignment="1"/>
    <xf numFmtId="164" fontId="7" fillId="0" borderId="34" xfId="1" applyNumberFormat="1" applyFont="1" applyFill="1" applyBorder="1" applyAlignment="1"/>
    <xf numFmtId="164" fontId="7" fillId="0" borderId="19" xfId="1" applyNumberFormat="1" applyFont="1" applyFill="1" applyBorder="1" applyAlignment="1"/>
    <xf numFmtId="0" fontId="2" fillId="5" borderId="23" xfId="0" applyFont="1" applyFill="1" applyBorder="1" applyAlignment="1">
      <alignment horizontal="left"/>
    </xf>
    <xf numFmtId="10" fontId="7" fillId="0" borderId="34" xfId="0" applyNumberFormat="1" applyFont="1" applyBorder="1" applyAlignment="1">
      <alignment horizontal="right"/>
    </xf>
    <xf numFmtId="10" fontId="7" fillId="0" borderId="34" xfId="2" applyNumberFormat="1" applyFont="1" applyFill="1" applyBorder="1" applyAlignment="1">
      <alignment horizontal="right"/>
    </xf>
    <xf numFmtId="10" fontId="7" fillId="0" borderId="19" xfId="2" applyNumberFormat="1" applyFont="1" applyFill="1" applyBorder="1" applyAlignment="1">
      <alignment horizontal="right"/>
    </xf>
    <xf numFmtId="0" fontId="0" fillId="7" borderId="0" xfId="0" applyFill="1"/>
    <xf numFmtId="0" fontId="2" fillId="5" borderId="25" xfId="0" applyFont="1" applyFill="1" applyBorder="1" applyAlignment="1">
      <alignment horizontal="left"/>
    </xf>
    <xf numFmtId="10" fontId="7" fillId="0" borderId="19" xfId="0" applyNumberFormat="1" applyFont="1" applyBorder="1" applyAlignment="1">
      <alignment horizontal="right"/>
    </xf>
    <xf numFmtId="164" fontId="7" fillId="3" borderId="34" xfId="1" applyNumberFormat="1" applyFont="1" applyFill="1" applyBorder="1" applyAlignment="1"/>
    <xf numFmtId="164" fontId="7" fillId="3" borderId="19" xfId="1" applyNumberFormat="1" applyFont="1" applyFill="1" applyBorder="1" applyAlignment="1"/>
    <xf numFmtId="164" fontId="0" fillId="3" borderId="4" xfId="0" applyNumberFormat="1" applyFill="1" applyBorder="1"/>
    <xf numFmtId="164" fontId="0" fillId="3" borderId="0" xfId="0" applyNumberFormat="1" applyFill="1"/>
    <xf numFmtId="10" fontId="7" fillId="3" borderId="34" xfId="2" applyNumberFormat="1" applyFont="1" applyFill="1" applyBorder="1" applyAlignment="1"/>
    <xf numFmtId="10" fontId="7" fillId="3" borderId="19" xfId="2" applyNumberFormat="1" applyFont="1" applyFill="1" applyBorder="1" applyAlignment="1"/>
    <xf numFmtId="10" fontId="7" fillId="3" borderId="34" xfId="0" applyNumberFormat="1" applyFont="1" applyFill="1" applyBorder="1" applyAlignment="1">
      <alignment horizontal="right"/>
    </xf>
    <xf numFmtId="10" fontId="7" fillId="3" borderId="19" xfId="0" applyNumberFormat="1" applyFont="1" applyFill="1" applyBorder="1" applyAlignment="1">
      <alignment horizontal="right"/>
    </xf>
    <xf numFmtId="15" fontId="7" fillId="0" borderId="34" xfId="0" applyNumberFormat="1" applyFont="1" applyBorder="1"/>
    <xf numFmtId="15" fontId="7" fillId="0" borderId="19" xfId="0" applyNumberFormat="1" applyFont="1" applyBorder="1"/>
    <xf numFmtId="0" fontId="7" fillId="0" borderId="34" xfId="0" applyFont="1" applyBorder="1" applyAlignment="1">
      <alignment horizontal="right"/>
    </xf>
    <xf numFmtId="0" fontId="7" fillId="0" borderId="19" xfId="0" applyFont="1" applyBorder="1" applyAlignment="1">
      <alignment horizontal="right"/>
    </xf>
    <xf numFmtId="0" fontId="7" fillId="0" borderId="35" xfId="0" applyFont="1" applyBorder="1" applyAlignment="1">
      <alignment horizontal="right"/>
    </xf>
    <xf numFmtId="0" fontId="7" fillId="0" borderId="32" xfId="0" applyFont="1" applyBorder="1" applyAlignment="1">
      <alignment horizontal="right" wrapText="1"/>
    </xf>
    <xf numFmtId="0" fontId="0" fillId="3" borderId="7" xfId="0" applyFill="1" applyBorder="1"/>
    <xf numFmtId="0" fontId="2" fillId="5" borderId="1" xfId="0" applyFont="1" applyFill="1" applyBorder="1"/>
    <xf numFmtId="0" fontId="0" fillId="5" borderId="2" xfId="0" applyFill="1" applyBorder="1"/>
    <xf numFmtId="0" fontId="2" fillId="5" borderId="16" xfId="0" applyFont="1" applyFill="1" applyBorder="1"/>
    <xf numFmtId="0" fontId="0" fillId="5" borderId="17" xfId="0" applyFill="1" applyBorder="1"/>
    <xf numFmtId="0" fontId="2" fillId="5" borderId="23" xfId="0" applyFont="1" applyFill="1" applyBorder="1"/>
    <xf numFmtId="0" fontId="0" fillId="5" borderId="21" xfId="0" applyFill="1" applyBorder="1"/>
    <xf numFmtId="0" fontId="0" fillId="5" borderId="5" xfId="0" applyFill="1" applyBorder="1" applyAlignment="1">
      <alignment horizontal="left" indent="1"/>
    </xf>
    <xf numFmtId="0" fontId="0" fillId="5" borderId="0" xfId="0" applyFill="1"/>
    <xf numFmtId="164" fontId="5" fillId="3" borderId="38"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3" borderId="4" xfId="1" applyNumberFormat="1" applyFont="1" applyFill="1" applyBorder="1" applyAlignment="1"/>
    <xf numFmtId="0" fontId="0" fillId="5" borderId="6" xfId="0" applyFill="1" applyBorder="1" applyAlignment="1">
      <alignment horizontal="left" indent="1"/>
    </xf>
    <xf numFmtId="0" fontId="0" fillId="5" borderId="7" xfId="0" applyFill="1" applyBorder="1"/>
    <xf numFmtId="0" fontId="0" fillId="3" borderId="8" xfId="0" applyFill="1" applyBorder="1"/>
    <xf numFmtId="0" fontId="2" fillId="5" borderId="5" xfId="0" applyFont="1" applyFill="1" applyBorder="1"/>
    <xf numFmtId="164" fontId="1" fillId="3" borderId="4" xfId="1" applyNumberFormat="1" applyFont="1" applyFill="1" applyBorder="1" applyAlignment="1"/>
    <xf numFmtId="164" fontId="1" fillId="3" borderId="42" xfId="1" applyNumberFormat="1" applyFont="1" applyFill="1" applyBorder="1" applyAlignment="1"/>
    <xf numFmtId="0" fontId="0" fillId="5" borderId="25" xfId="0" applyFill="1" applyBorder="1" applyAlignment="1">
      <alignment horizontal="left" indent="1"/>
    </xf>
    <xf numFmtId="0" fontId="0" fillId="5" borderId="26" xfId="0" applyFill="1" applyBorder="1"/>
    <xf numFmtId="164" fontId="5" fillId="3" borderId="41" xfId="1" applyNumberFormat="1" applyFont="1" applyFill="1" applyBorder="1" applyAlignment="1">
      <alignment horizontal="center"/>
    </xf>
    <xf numFmtId="164" fontId="5" fillId="3" borderId="26" xfId="1" applyNumberFormat="1" applyFont="1" applyFill="1" applyBorder="1" applyAlignment="1">
      <alignment horizontal="center"/>
    </xf>
    <xf numFmtId="164" fontId="0" fillId="3" borderId="4" xfId="1" applyNumberFormat="1" applyFont="1" applyFill="1" applyBorder="1" applyAlignment="1"/>
    <xf numFmtId="0" fontId="0" fillId="5" borderId="5" xfId="0" applyFill="1" applyBorder="1" applyAlignment="1">
      <alignment horizontal="left" indent="2"/>
    </xf>
    <xf numFmtId="164" fontId="0" fillId="3" borderId="0" xfId="1" applyNumberFormat="1" applyFont="1" applyFill="1" applyBorder="1" applyAlignment="1">
      <alignment horizontal="right"/>
    </xf>
    <xf numFmtId="164" fontId="0" fillId="3" borderId="42" xfId="1" applyNumberFormat="1" applyFont="1" applyFill="1" applyBorder="1" applyAlignment="1"/>
    <xf numFmtId="0" fontId="2" fillId="5" borderId="5" xfId="0" applyFont="1" applyFill="1" applyBorder="1" applyAlignment="1">
      <alignment horizontal="left"/>
    </xf>
    <xf numFmtId="164" fontId="1" fillId="3" borderId="4" xfId="1" applyNumberFormat="1" applyFont="1" applyFill="1" applyBorder="1" applyAlignment="1">
      <alignment horizontal="right"/>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1" fillId="3" borderId="8" xfId="1" applyNumberFormat="1" applyFont="1" applyFill="1" applyBorder="1" applyAlignment="1">
      <alignment horizontal="right"/>
    </xf>
    <xf numFmtId="0" fontId="0" fillId="3" borderId="0" xfId="0" applyFill="1" applyAlignment="1">
      <alignment horizontal="left" indent="1"/>
    </xf>
    <xf numFmtId="0" fontId="8" fillId="5" borderId="0" xfId="0" applyFont="1" applyFill="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0" fontId="2" fillId="5" borderId="26" xfId="0" applyFont="1" applyFill="1" applyBorder="1"/>
    <xf numFmtId="0" fontId="2" fillId="5" borderId="6" xfId="0" applyFont="1" applyFill="1" applyBorder="1" applyAlignment="1">
      <alignment horizontal="left"/>
    </xf>
    <xf numFmtId="0" fontId="2" fillId="5" borderId="7" xfId="0" applyFont="1" applyFill="1" applyBorder="1"/>
    <xf numFmtId="0" fontId="8" fillId="8" borderId="5" xfId="0" applyFont="1" applyFill="1" applyBorder="1" applyAlignment="1">
      <alignment horizontal="center"/>
    </xf>
    <xf numFmtId="0" fontId="8" fillId="8" borderId="0" xfId="0" applyFont="1" applyFill="1" applyAlignment="1">
      <alignment horizontal="center"/>
    </xf>
    <xf numFmtId="0" fontId="5" fillId="3" borderId="3" xfId="0" applyFont="1" applyFill="1" applyBorder="1"/>
    <xf numFmtId="0" fontId="5" fillId="3" borderId="4" xfId="0" applyFont="1" applyFill="1" applyBorder="1"/>
    <xf numFmtId="0" fontId="0" fillId="5" borderId="23" xfId="0" applyFill="1" applyBorder="1" applyAlignment="1">
      <alignment horizontal="left" indent="1"/>
    </xf>
    <xf numFmtId="0" fontId="2" fillId="3" borderId="44" xfId="0" applyFont="1" applyFill="1" applyBorder="1" applyAlignment="1">
      <alignment horizontal="right"/>
    </xf>
    <xf numFmtId="0" fontId="2" fillId="3" borderId="4" xfId="0" applyFont="1" applyFill="1" applyBorder="1" applyAlignment="1">
      <alignment horizontal="right"/>
    </xf>
    <xf numFmtId="164" fontId="5" fillId="3" borderId="43" xfId="1" applyNumberFormat="1" applyFont="1" applyFill="1" applyBorder="1" applyAlignment="1"/>
    <xf numFmtId="164" fontId="5" fillId="3" borderId="44" xfId="1" applyNumberFormat="1" applyFont="1" applyFill="1" applyBorder="1" applyAlignment="1"/>
    <xf numFmtId="164" fontId="5" fillId="3" borderId="38" xfId="1" applyNumberFormat="1" applyFont="1" applyFill="1" applyBorder="1" applyAlignment="1">
      <alignment horizontal="right"/>
    </xf>
    <xf numFmtId="164" fontId="5" fillId="3" borderId="38" xfId="1" applyNumberFormat="1" applyFont="1" applyFill="1" applyBorder="1" applyAlignment="1"/>
    <xf numFmtId="164" fontId="5" fillId="3" borderId="41" xfId="1" applyNumberFormat="1" applyFont="1" applyFill="1" applyBorder="1" applyAlignment="1">
      <alignment horizontal="right"/>
    </xf>
    <xf numFmtId="164" fontId="5" fillId="3" borderId="41" xfId="1" applyNumberFormat="1" applyFont="1" applyFill="1" applyBorder="1" applyAlignment="1"/>
    <xf numFmtId="164" fontId="5" fillId="0" borderId="38" xfId="1" applyNumberFormat="1" applyFont="1" applyFill="1" applyBorder="1" applyAlignment="1">
      <alignment horizontal="right"/>
    </xf>
    <xf numFmtId="164" fontId="5" fillId="0" borderId="41" xfId="1" applyNumberFormat="1" applyFont="1" applyFill="1" applyBorder="1" applyAlignment="1">
      <alignment horizontal="right"/>
    </xf>
    <xf numFmtId="164" fontId="7" fillId="3" borderId="38" xfId="1" applyNumberFormat="1" applyFont="1" applyFill="1" applyBorder="1" applyAlignment="1">
      <alignment horizontal="right"/>
    </xf>
    <xf numFmtId="164" fontId="5" fillId="3" borderId="50" xfId="1" applyNumberFormat="1" applyFont="1" applyFill="1" applyBorder="1" applyAlignment="1">
      <alignment horizontal="center"/>
    </xf>
    <xf numFmtId="164" fontId="7" fillId="3" borderId="41" xfId="1" applyNumberFormat="1" applyFont="1" applyFill="1" applyBorder="1" applyAlignment="1">
      <alignment horizontal="right"/>
    </xf>
    <xf numFmtId="164" fontId="5" fillId="3" borderId="27" xfId="1" applyNumberFormat="1" applyFont="1" applyFill="1" applyBorder="1" applyAlignment="1">
      <alignment horizontal="right"/>
    </xf>
    <xf numFmtId="0" fontId="0" fillId="3" borderId="42" xfId="0" applyFill="1" applyBorder="1"/>
    <xf numFmtId="164" fontId="5" fillId="3" borderId="50" xfId="1" applyNumberFormat="1" applyFont="1" applyFill="1" applyBorder="1" applyAlignment="1">
      <alignment horizontal="right"/>
    </xf>
    <xf numFmtId="0" fontId="2" fillId="5" borderId="22" xfId="0" applyFont="1" applyFill="1" applyBorder="1"/>
    <xf numFmtId="0" fontId="8" fillId="5" borderId="17" xfId="0" applyFont="1" applyFill="1" applyBorder="1" applyAlignment="1">
      <alignment horizontal="center"/>
    </xf>
    <xf numFmtId="0" fontId="8" fillId="5" borderId="22" xfId="0" applyFont="1" applyFill="1" applyBorder="1" applyAlignment="1">
      <alignment horizontal="center"/>
    </xf>
    <xf numFmtId="0" fontId="2" fillId="5" borderId="6" xfId="0" applyFont="1" applyFill="1" applyBorder="1"/>
    <xf numFmtId="0" fontId="2" fillId="5" borderId="53" xfId="0" applyFont="1" applyFill="1" applyBorder="1"/>
    <xf numFmtId="0" fontId="8" fillId="5" borderId="26" xfId="0" applyFont="1" applyFill="1" applyBorder="1" applyAlignment="1">
      <alignment horizontal="center"/>
    </xf>
    <xf numFmtId="0" fontId="8" fillId="5" borderId="27" xfId="0" applyFont="1" applyFill="1" applyBorder="1" applyAlignment="1">
      <alignment horizontal="center"/>
    </xf>
    <xf numFmtId="0" fontId="2" fillId="5" borderId="28" xfId="0" applyFont="1" applyFill="1" applyBorder="1" applyAlignment="1">
      <alignment horizontal="left"/>
    </xf>
    <xf numFmtId="0" fontId="8" fillId="5" borderId="29" xfId="0" applyFont="1" applyFill="1" applyBorder="1" applyAlignment="1">
      <alignment horizontal="center"/>
    </xf>
    <xf numFmtId="0" fontId="8" fillId="5" borderId="30" xfId="0" applyFont="1" applyFill="1" applyBorder="1" applyAlignment="1">
      <alignment horizontal="center"/>
    </xf>
    <xf numFmtId="0" fontId="2" fillId="5" borderId="12" xfId="0" applyFont="1" applyFill="1" applyBorder="1" applyAlignment="1">
      <alignment horizontal="left" vertical="center"/>
    </xf>
    <xf numFmtId="0" fontId="2" fillId="5" borderId="13" xfId="0" applyFont="1" applyFill="1" applyBorder="1"/>
    <xf numFmtId="0" fontId="8" fillId="5" borderId="13" xfId="0" applyFont="1" applyFill="1" applyBorder="1" applyAlignment="1">
      <alignment horizontal="center"/>
    </xf>
    <xf numFmtId="0" fontId="2" fillId="5" borderId="34" xfId="0" applyFont="1" applyFill="1" applyBorder="1" applyAlignment="1">
      <alignment horizontal="center" vertical="center"/>
    </xf>
    <xf numFmtId="0" fontId="2" fillId="5" borderId="22" xfId="0" applyFont="1" applyFill="1" applyBorder="1" applyAlignment="1">
      <alignment horizontal="center"/>
    </xf>
    <xf numFmtId="0" fontId="2" fillId="5" borderId="25" xfId="0" applyFont="1" applyFill="1" applyBorder="1"/>
    <xf numFmtId="14" fontId="5" fillId="3" borderId="34" xfId="0" applyNumberFormat="1" applyFont="1" applyFill="1" applyBorder="1" applyAlignment="1">
      <alignment horizontal="center"/>
    </xf>
    <xf numFmtId="0" fontId="2" fillId="5" borderId="21" xfId="0" applyFont="1" applyFill="1" applyBorder="1"/>
    <xf numFmtId="0" fontId="2" fillId="9" borderId="43" xfId="0" applyFont="1" applyFill="1" applyBorder="1" applyAlignment="1">
      <alignment horizontal="center"/>
    </xf>
    <xf numFmtId="16" fontId="5" fillId="3" borderId="38" xfId="0" applyNumberFormat="1" applyFont="1" applyFill="1" applyBorder="1" applyAlignment="1">
      <alignment horizontal="center"/>
    </xf>
    <xf numFmtId="167" fontId="7" fillId="3" borderId="38" xfId="1" applyNumberFormat="1" applyFont="1" applyFill="1" applyBorder="1" applyAlignment="1"/>
    <xf numFmtId="167" fontId="7" fillId="3" borderId="0" xfId="0" applyNumberFormat="1" applyFont="1" applyFill="1"/>
    <xf numFmtId="167" fontId="7" fillId="3" borderId="38" xfId="0" applyNumberFormat="1" applyFont="1" applyFill="1" applyBorder="1" applyAlignment="1">
      <alignment horizontal="center"/>
    </xf>
    <xf numFmtId="167" fontId="7" fillId="3" borderId="4" xfId="0" applyNumberFormat="1" applyFont="1" applyFill="1" applyBorder="1"/>
    <xf numFmtId="16" fontId="5" fillId="3" borderId="41" xfId="0" applyNumberFormat="1" applyFont="1" applyFill="1" applyBorder="1" applyAlignment="1">
      <alignment horizontal="center"/>
    </xf>
    <xf numFmtId="167" fontId="7" fillId="3" borderId="41" xfId="1" applyNumberFormat="1" applyFont="1" applyFill="1" applyBorder="1" applyAlignment="1"/>
    <xf numFmtId="167" fontId="7" fillId="3" borderId="41" xfId="0" applyNumberFormat="1" applyFont="1" applyFill="1" applyBorder="1" applyAlignment="1">
      <alignment horizontal="center"/>
    </xf>
    <xf numFmtId="167" fontId="7" fillId="3" borderId="42" xfId="0" applyNumberFormat="1" applyFont="1" applyFill="1" applyBorder="1"/>
    <xf numFmtId="14" fontId="5" fillId="3" borderId="38" xfId="0" applyNumberFormat="1" applyFont="1" applyFill="1" applyBorder="1" applyAlignment="1">
      <alignment horizontal="center"/>
    </xf>
    <xf numFmtId="0" fontId="2" fillId="5" borderId="17" xfId="0" applyFont="1" applyFill="1" applyBorder="1" applyAlignment="1">
      <alignment horizontal="center"/>
    </xf>
    <xf numFmtId="0" fontId="6" fillId="5" borderId="0" xfId="0" applyFont="1" applyFill="1"/>
    <xf numFmtId="0" fontId="6" fillId="5" borderId="21" xfId="0" applyFont="1" applyFill="1" applyBorder="1"/>
    <xf numFmtId="0" fontId="6" fillId="5" borderId="24" xfId="0" applyFont="1" applyFill="1" applyBorder="1"/>
    <xf numFmtId="0" fontId="8" fillId="5" borderId="21" xfId="0" applyFont="1" applyFill="1" applyBorder="1" applyAlignment="1">
      <alignment horizontal="center"/>
    </xf>
    <xf numFmtId="0" fontId="8" fillId="5" borderId="24" xfId="0" applyFont="1" applyFill="1" applyBorder="1" applyAlignment="1">
      <alignment horizontal="center"/>
    </xf>
    <xf numFmtId="0" fontId="8" fillId="5" borderId="7" xfId="0" applyFont="1" applyFill="1" applyBorder="1" applyAlignment="1">
      <alignment horizontal="center"/>
    </xf>
    <xf numFmtId="0" fontId="8" fillId="5" borderId="53" xfId="0" applyFont="1" applyFill="1" applyBorder="1" applyAlignment="1">
      <alignment horizontal="center"/>
    </xf>
    <xf numFmtId="0" fontId="0" fillId="3" borderId="6" xfId="0" applyFill="1" applyBorder="1"/>
    <xf numFmtId="0" fontId="0" fillId="3" borderId="10" xfId="0" applyFill="1" applyBorder="1"/>
    <xf numFmtId="0" fontId="2" fillId="5" borderId="12" xfId="0" applyFont="1" applyFill="1" applyBorder="1"/>
    <xf numFmtId="0" fontId="2" fillId="5" borderId="48" xfId="0" applyFont="1" applyFill="1" applyBorder="1"/>
    <xf numFmtId="0" fontId="2" fillId="5" borderId="27" xfId="0" applyFont="1" applyFill="1" applyBorder="1"/>
    <xf numFmtId="0" fontId="2" fillId="5" borderId="43" xfId="0" applyFont="1" applyFill="1" applyBorder="1"/>
    <xf numFmtId="0" fontId="2" fillId="5" borderId="5"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xf numFmtId="0" fontId="2" fillId="5" borderId="29" xfId="0" applyFont="1" applyFill="1" applyBorder="1"/>
    <xf numFmtId="0" fontId="0" fillId="5" borderId="21" xfId="0" applyFill="1" applyBorder="1" applyAlignment="1">
      <alignment horizontal="center"/>
    </xf>
    <xf numFmtId="0" fontId="0" fillId="5" borderId="24" xfId="0" applyFill="1" applyBorder="1" applyAlignment="1">
      <alignment horizontal="center"/>
    </xf>
    <xf numFmtId="0" fontId="0" fillId="5" borderId="0" xfId="0" applyFill="1" applyAlignment="1">
      <alignment horizontal="center"/>
    </xf>
    <xf numFmtId="0" fontId="0" fillId="5" borderId="5" xfId="0" applyFill="1" applyBorder="1" applyAlignment="1">
      <alignment horizontal="left"/>
    </xf>
    <xf numFmtId="164" fontId="6" fillId="3" borderId="4" xfId="1" applyNumberFormat="1" applyFont="1" applyFill="1" applyBorder="1" applyAlignment="1">
      <alignment horizontal="center"/>
    </xf>
    <xf numFmtId="164" fontId="6" fillId="3" borderId="42" xfId="1" applyNumberFormat="1" applyFont="1" applyFill="1" applyBorder="1" applyAlignment="1">
      <alignment horizontal="center"/>
    </xf>
    <xf numFmtId="0" fontId="0" fillId="5" borderId="50" xfId="0" applyFill="1" applyBorder="1" applyAlignment="1">
      <alignment horizontal="center"/>
    </xf>
    <xf numFmtId="164" fontId="0" fillId="3" borderId="4" xfId="1" applyNumberFormat="1" applyFont="1"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164" fontId="6" fillId="0" borderId="4" xfId="1" applyNumberFormat="1" applyFont="1" applyFill="1" applyBorder="1" applyAlignment="1">
      <alignment horizontal="center"/>
    </xf>
    <xf numFmtId="0" fontId="2" fillId="5" borderId="34" xfId="0" applyFont="1" applyFill="1" applyBorder="1" applyAlignment="1">
      <alignment horizontal="left"/>
    </xf>
    <xf numFmtId="0" fontId="0" fillId="5" borderId="17" xfId="0" applyFill="1" applyBorder="1" applyAlignment="1">
      <alignment horizontal="center"/>
    </xf>
    <xf numFmtId="0" fontId="0" fillId="5" borderId="22" xfId="0" applyFill="1" applyBorder="1" applyAlignment="1">
      <alignment horizontal="center"/>
    </xf>
    <xf numFmtId="164" fontId="7" fillId="0" borderId="4" xfId="1" applyNumberFormat="1" applyFont="1" applyFill="1" applyBorder="1" applyAlignment="1">
      <alignment horizontal="right"/>
    </xf>
    <xf numFmtId="164" fontId="0" fillId="5" borderId="5" xfId="1" applyNumberFormat="1" applyFont="1" applyFill="1" applyBorder="1" applyAlignment="1">
      <alignment horizontal="left" indent="1"/>
    </xf>
    <xf numFmtId="164" fontId="0" fillId="5" borderId="25" xfId="1" applyNumberFormat="1" applyFont="1" applyFill="1" applyBorder="1" applyAlignment="1">
      <alignment horizontal="left" indent="1"/>
    </xf>
    <xf numFmtId="164" fontId="7" fillId="0" borderId="42" xfId="1" applyNumberFormat="1" applyFont="1" applyFill="1" applyBorder="1" applyAlignment="1">
      <alignment horizontal="right"/>
    </xf>
    <xf numFmtId="0" fontId="2" fillId="5" borderId="29" xfId="0" applyFont="1" applyFill="1" applyBorder="1" applyAlignment="1">
      <alignment horizontal="center"/>
    </xf>
    <xf numFmtId="0" fontId="2" fillId="5" borderId="30" xfId="0" applyFont="1" applyFill="1" applyBorder="1" applyAlignment="1">
      <alignment horizontal="center"/>
    </xf>
    <xf numFmtId="0" fontId="0" fillId="3" borderId="0" xfId="0" applyFill="1" applyAlignment="1">
      <alignment horizontal="center"/>
    </xf>
    <xf numFmtId="0" fontId="8" fillId="5" borderId="16" xfId="0" applyFont="1" applyFill="1" applyBorder="1" applyAlignment="1">
      <alignment horizontal="left"/>
    </xf>
    <xf numFmtId="0" fontId="2" fillId="5" borderId="0" xfId="0" applyFont="1" applyFill="1" applyAlignment="1">
      <alignment horizontal="center"/>
    </xf>
    <xf numFmtId="0" fontId="2" fillId="5" borderId="21" xfId="0" applyFont="1" applyFill="1" applyBorder="1" applyAlignment="1">
      <alignment horizontal="center"/>
    </xf>
    <xf numFmtId="164" fontId="6" fillId="3" borderId="50" xfId="1" applyNumberFormat="1" applyFont="1" applyFill="1" applyBorder="1" applyAlignment="1">
      <alignment horizontal="center"/>
    </xf>
    <xf numFmtId="0" fontId="12" fillId="5" borderId="5" xfId="0" applyFont="1" applyFill="1" applyBorder="1" applyAlignment="1">
      <alignment horizontal="left" indent="1"/>
    </xf>
    <xf numFmtId="0" fontId="12" fillId="5" borderId="25" xfId="0" applyFont="1" applyFill="1" applyBorder="1" applyAlignment="1">
      <alignment horizontal="left" indent="1"/>
    </xf>
    <xf numFmtId="0" fontId="2" fillId="5" borderId="26" xfId="0" applyFont="1" applyFill="1" applyBorder="1" applyAlignment="1">
      <alignment horizontal="center"/>
    </xf>
    <xf numFmtId="164" fontId="6" fillId="3" borderId="27" xfId="1" applyNumberFormat="1" applyFont="1" applyFill="1" applyBorder="1" applyAlignment="1">
      <alignment horizontal="center"/>
    </xf>
    <xf numFmtId="0" fontId="13" fillId="5" borderId="23" xfId="0" applyFont="1" applyFill="1" applyBorder="1" applyAlignment="1">
      <alignment horizontal="left"/>
    </xf>
    <xf numFmtId="0" fontId="2" fillId="5" borderId="7" xfId="0" applyFont="1" applyFill="1" applyBorder="1" applyAlignment="1">
      <alignment horizontal="center"/>
    </xf>
    <xf numFmtId="0" fontId="0" fillId="5" borderId="16" xfId="0" applyFill="1" applyBorder="1" applyAlignment="1">
      <alignment horizontal="center"/>
    </xf>
    <xf numFmtId="0" fontId="0" fillId="5" borderId="38" xfId="0" applyFill="1" applyBorder="1" applyAlignment="1">
      <alignment horizontal="left"/>
    </xf>
    <xf numFmtId="167" fontId="7" fillId="3" borderId="34" xfId="0" applyNumberFormat="1" applyFont="1" applyFill="1" applyBorder="1" applyAlignment="1">
      <alignment horizontal="right"/>
    </xf>
    <xf numFmtId="167" fontId="7" fillId="3" borderId="17" xfId="0" applyNumberFormat="1" applyFont="1" applyFill="1" applyBorder="1" applyAlignment="1">
      <alignment horizontal="right"/>
    </xf>
    <xf numFmtId="167" fontId="7" fillId="3" borderId="47" xfId="0" applyNumberFormat="1" applyFont="1" applyFill="1" applyBorder="1" applyAlignment="1">
      <alignment horizontal="right"/>
    </xf>
    <xf numFmtId="167" fontId="7" fillId="3" borderId="35" xfId="0" applyNumberFormat="1" applyFont="1" applyFill="1" applyBorder="1" applyAlignment="1">
      <alignment horizontal="right"/>
    </xf>
    <xf numFmtId="167" fontId="7" fillId="3" borderId="29" xfId="0" applyNumberFormat="1" applyFont="1" applyFill="1" applyBorder="1" applyAlignment="1">
      <alignment horizontal="right"/>
    </xf>
    <xf numFmtId="167" fontId="7" fillId="3" borderId="45" xfId="0" applyNumberFormat="1" applyFont="1" applyFill="1" applyBorder="1" applyAlignment="1">
      <alignment horizontal="right"/>
    </xf>
    <xf numFmtId="10" fontId="7" fillId="3" borderId="38" xfId="0" applyNumberFormat="1" applyFont="1" applyFill="1" applyBorder="1" applyAlignment="1">
      <alignment horizontal="center"/>
    </xf>
    <xf numFmtId="10" fontId="7" fillId="3" borderId="50" xfId="0" applyNumberFormat="1" applyFont="1" applyFill="1" applyBorder="1" applyAlignment="1">
      <alignment horizontal="center"/>
    </xf>
    <xf numFmtId="0" fontId="7" fillId="3" borderId="41" xfId="0" applyFont="1" applyFill="1" applyBorder="1" applyAlignment="1">
      <alignment horizontal="center"/>
    </xf>
    <xf numFmtId="0" fontId="7" fillId="3" borderId="27" xfId="0" applyFont="1" applyFill="1" applyBorder="1" applyAlignment="1">
      <alignment horizontal="center"/>
    </xf>
    <xf numFmtId="0" fontId="2" fillId="5" borderId="17" xfId="0" applyFont="1" applyFill="1" applyBorder="1" applyAlignment="1">
      <alignment horizontal="center"/>
    </xf>
    <xf numFmtId="167" fontId="7" fillId="3" borderId="34" xfId="0" applyNumberFormat="1" applyFont="1" applyFill="1" applyBorder="1" applyAlignment="1">
      <alignment horizontal="center"/>
    </xf>
    <xf numFmtId="167" fontId="7" fillId="3" borderId="17" xfId="0" applyNumberFormat="1" applyFont="1" applyFill="1" applyBorder="1" applyAlignment="1">
      <alignment horizontal="center"/>
    </xf>
    <xf numFmtId="167" fontId="7" fillId="3" borderId="47" xfId="0" applyNumberFormat="1" applyFont="1" applyFill="1" applyBorder="1" applyAlignment="1">
      <alignment horizontal="center"/>
    </xf>
    <xf numFmtId="0" fontId="6" fillId="9" borderId="43" xfId="0" applyFont="1" applyFill="1" applyBorder="1" applyAlignment="1">
      <alignment horizontal="center"/>
    </xf>
    <xf numFmtId="0" fontId="6" fillId="9" borderId="24" xfId="0" applyFont="1" applyFill="1" applyBorder="1" applyAlignment="1">
      <alignment horizontal="center"/>
    </xf>
    <xf numFmtId="167" fontId="7" fillId="9" borderId="43" xfId="1" applyNumberFormat="1" applyFont="1" applyFill="1" applyBorder="1" applyAlignment="1">
      <alignment horizontal="center"/>
    </xf>
    <xf numFmtId="167" fontId="7" fillId="9" borderId="24" xfId="1" applyNumberFormat="1" applyFont="1" applyFill="1" applyBorder="1" applyAlignment="1">
      <alignment horizontal="center"/>
    </xf>
    <xf numFmtId="167" fontId="7" fillId="9" borderId="43" xfId="0" applyNumberFormat="1" applyFont="1" applyFill="1" applyBorder="1" applyAlignment="1">
      <alignment horizontal="center"/>
    </xf>
    <xf numFmtId="167" fontId="7" fillId="9" borderId="44" xfId="0" applyNumberFormat="1" applyFont="1" applyFill="1" applyBorder="1" applyAlignment="1">
      <alignment horizontal="center"/>
    </xf>
    <xf numFmtId="10" fontId="5" fillId="3" borderId="34" xfId="0" applyNumberFormat="1" applyFont="1" applyFill="1" applyBorder="1" applyAlignment="1">
      <alignment horizontal="center"/>
    </xf>
    <xf numFmtId="10" fontId="5" fillId="3" borderId="22" xfId="0" applyNumberFormat="1" applyFont="1" applyFill="1" applyBorder="1" applyAlignment="1">
      <alignment horizontal="center"/>
    </xf>
    <xf numFmtId="167" fontId="7" fillId="3" borderId="22" xfId="0" applyNumberFormat="1" applyFont="1" applyFill="1" applyBorder="1" applyAlignment="1">
      <alignment horizontal="center"/>
    </xf>
    <xf numFmtId="164" fontId="5" fillId="3" borderId="18"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31" xfId="1" applyNumberFormat="1" applyFont="1" applyFill="1" applyBorder="1" applyAlignment="1">
      <alignment horizontal="center"/>
    </xf>
    <xf numFmtId="164" fontId="5" fillId="3" borderId="32" xfId="1" applyNumberFormat="1" applyFont="1" applyFill="1" applyBorder="1" applyAlignment="1">
      <alignment horizontal="center"/>
    </xf>
    <xf numFmtId="0" fontId="8" fillId="6" borderId="9" xfId="0" applyFont="1" applyFill="1" applyBorder="1" applyAlignment="1">
      <alignment horizontal="center"/>
    </xf>
    <xf numFmtId="0" fontId="8" fillId="6" borderId="10" xfId="0" applyFont="1" applyFill="1" applyBorder="1" applyAlignment="1">
      <alignment horizontal="center"/>
    </xf>
    <xf numFmtId="0" fontId="8" fillId="6" borderId="11" xfId="0" applyFont="1" applyFill="1" applyBorder="1" applyAlignment="1">
      <alignment horizontal="center"/>
    </xf>
    <xf numFmtId="10" fontId="7" fillId="3" borderId="46" xfId="0" applyNumberFormat="1" applyFont="1" applyFill="1" applyBorder="1" applyAlignment="1">
      <alignment horizontal="center" vertical="center"/>
    </xf>
    <xf numFmtId="10" fontId="7" fillId="3" borderId="13" xfId="0" applyNumberFormat="1" applyFont="1" applyFill="1" applyBorder="1" applyAlignment="1">
      <alignment horizontal="center" vertical="center"/>
    </xf>
    <xf numFmtId="10" fontId="7" fillId="3" borderId="33" xfId="0" applyNumberFormat="1" applyFont="1" applyFill="1" applyBorder="1" applyAlignment="1">
      <alignment horizontal="center" vertical="center"/>
    </xf>
    <xf numFmtId="0" fontId="2" fillId="5" borderId="34" xfId="0" applyFont="1" applyFill="1" applyBorder="1" applyAlignment="1">
      <alignment horizontal="center"/>
    </xf>
    <xf numFmtId="0" fontId="2" fillId="5" borderId="22" xfId="0" applyFont="1" applyFill="1" applyBorder="1" applyAlignment="1">
      <alignment horizontal="center"/>
    </xf>
    <xf numFmtId="0" fontId="2" fillId="5" borderId="47" xfId="0" applyFont="1" applyFill="1" applyBorder="1" applyAlignment="1">
      <alignment horizontal="center"/>
    </xf>
    <xf numFmtId="164" fontId="5" fillId="3" borderId="35" xfId="1" applyNumberFormat="1" applyFont="1" applyFill="1" applyBorder="1" applyAlignment="1">
      <alignment horizontal="center"/>
    </xf>
    <xf numFmtId="164" fontId="5" fillId="3" borderId="29" xfId="1" applyNumberFormat="1" applyFont="1" applyFill="1" applyBorder="1" applyAlignment="1">
      <alignment horizontal="center"/>
    </xf>
    <xf numFmtId="164" fontId="5" fillId="3" borderId="45" xfId="1" applyNumberFormat="1"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0" fontId="8" fillId="6" borderId="1" xfId="0" applyFont="1" applyFill="1" applyBorder="1" applyAlignment="1">
      <alignment horizontal="center"/>
    </xf>
    <xf numFmtId="164" fontId="5" fillId="3" borderId="34" xfId="1" applyNumberFormat="1" applyFont="1" applyFill="1" applyBorder="1" applyAlignment="1">
      <alignment horizontal="center"/>
    </xf>
    <xf numFmtId="164" fontId="5" fillId="3" borderId="17" xfId="1" applyNumberFormat="1" applyFont="1" applyFill="1" applyBorder="1" applyAlignment="1">
      <alignment horizontal="center"/>
    </xf>
    <xf numFmtId="164" fontId="5" fillId="3" borderId="47" xfId="1" applyNumberFormat="1" applyFont="1" applyFill="1" applyBorder="1" applyAlignment="1">
      <alignment horizontal="center"/>
    </xf>
    <xf numFmtId="164" fontId="5" fillId="3" borderId="35" xfId="1" applyNumberFormat="1" applyFont="1" applyFill="1" applyBorder="1" applyAlignment="1">
      <alignment horizontal="right"/>
    </xf>
    <xf numFmtId="164" fontId="5" fillId="3" borderId="30" xfId="1" applyNumberFormat="1" applyFont="1" applyFill="1" applyBorder="1" applyAlignment="1">
      <alignment horizontal="right"/>
    </xf>
    <xf numFmtId="0" fontId="2" fillId="8" borderId="28" xfId="0" applyFont="1" applyFill="1" applyBorder="1" applyAlignment="1">
      <alignment horizontal="left"/>
    </xf>
    <xf numFmtId="0" fontId="2" fillId="8" borderId="29" xfId="0" applyFont="1" applyFill="1" applyBorder="1" applyAlignment="1">
      <alignment horizontal="left"/>
    </xf>
    <xf numFmtId="0" fontId="2" fillId="8" borderId="30" xfId="0" applyFont="1" applyFill="1" applyBorder="1" applyAlignment="1">
      <alignment horizontal="left"/>
    </xf>
    <xf numFmtId="164" fontId="11" fillId="8" borderId="51" xfId="1" applyNumberFormat="1" applyFont="1" applyFill="1" applyBorder="1" applyAlignment="1">
      <alignment horizontal="right"/>
    </xf>
    <xf numFmtId="164" fontId="11" fillId="8" borderId="52" xfId="1" applyNumberFormat="1" applyFont="1" applyFill="1" applyBorder="1" applyAlignment="1">
      <alignment horizontal="right"/>
    </xf>
    <xf numFmtId="164" fontId="11" fillId="8" borderId="10" xfId="1" applyNumberFormat="1" applyFont="1" applyFill="1" applyBorder="1" applyAlignment="1">
      <alignment horizontal="right"/>
    </xf>
    <xf numFmtId="164" fontId="11" fillId="8" borderId="51" xfId="1" applyNumberFormat="1" applyFont="1" applyFill="1" applyBorder="1" applyAlignment="1">
      <alignment horizontal="center"/>
    </xf>
    <xf numFmtId="164" fontId="11" fillId="8" borderId="11" xfId="1" applyNumberFormat="1" applyFont="1" applyFill="1" applyBorder="1" applyAlignment="1">
      <alignment horizontal="center"/>
    </xf>
    <xf numFmtId="0" fontId="0" fillId="5" borderId="5" xfId="0" applyFill="1" applyBorder="1" applyAlignment="1">
      <alignment horizontal="left" indent="1"/>
    </xf>
    <xf numFmtId="0" fontId="0" fillId="5" borderId="0" xfId="0" applyFill="1" applyAlignment="1">
      <alignment horizontal="left" indent="1"/>
    </xf>
    <xf numFmtId="0" fontId="0" fillId="5" borderId="50" xfId="0" applyFill="1" applyBorder="1" applyAlignment="1">
      <alignment horizontal="left" indent="1"/>
    </xf>
    <xf numFmtId="164" fontId="5" fillId="0" borderId="34" xfId="1" applyNumberFormat="1" applyFont="1" applyFill="1" applyBorder="1" applyAlignment="1">
      <alignment horizontal="right"/>
    </xf>
    <xf numFmtId="164" fontId="5" fillId="0" borderId="22" xfId="1" applyNumberFormat="1" applyFont="1" applyFill="1" applyBorder="1" applyAlignment="1">
      <alignment horizontal="right"/>
    </xf>
    <xf numFmtId="164" fontId="5" fillId="3" borderId="34" xfId="1" applyNumberFormat="1" applyFont="1" applyFill="1" applyBorder="1" applyAlignment="1">
      <alignment horizontal="right"/>
    </xf>
    <xf numFmtId="164" fontId="5" fillId="3" borderId="17" xfId="1" applyNumberFormat="1" applyFont="1" applyFill="1" applyBorder="1" applyAlignment="1">
      <alignment horizontal="right"/>
    </xf>
    <xf numFmtId="0" fontId="2" fillId="5" borderId="16" xfId="0" applyFont="1" applyFill="1" applyBorder="1" applyAlignment="1">
      <alignment horizontal="left"/>
    </xf>
    <xf numFmtId="0" fontId="2" fillId="5" borderId="17" xfId="0" applyFont="1" applyFill="1" applyBorder="1" applyAlignment="1">
      <alignment horizontal="left"/>
    </xf>
    <xf numFmtId="0" fontId="2" fillId="5" borderId="22" xfId="0" applyFont="1" applyFill="1" applyBorder="1" applyAlignment="1">
      <alignment horizontal="left"/>
    </xf>
    <xf numFmtId="164" fontId="5" fillId="3" borderId="22" xfId="1" applyNumberFormat="1" applyFont="1" applyFill="1" applyBorder="1" applyAlignment="1">
      <alignment horizontal="right"/>
    </xf>
    <xf numFmtId="0" fontId="2" fillId="5" borderId="23" xfId="0" applyFont="1" applyFill="1" applyBorder="1" applyAlignment="1">
      <alignment horizontal="left"/>
    </xf>
    <xf numFmtId="0" fontId="2" fillId="5" borderId="21" xfId="0" applyFont="1" applyFill="1" applyBorder="1" applyAlignment="1">
      <alignment horizontal="left"/>
    </xf>
    <xf numFmtId="0" fontId="2" fillId="5" borderId="24" xfId="0" applyFont="1" applyFill="1" applyBorder="1" applyAlignment="1">
      <alignment horizontal="left"/>
    </xf>
    <xf numFmtId="164" fontId="5" fillId="3" borderId="43"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43" xfId="1" applyNumberFormat="1" applyFont="1" applyFill="1" applyBorder="1" applyAlignment="1">
      <alignment horizontal="center"/>
    </xf>
    <xf numFmtId="164" fontId="5" fillId="3" borderId="21" xfId="1" applyNumberFormat="1" applyFont="1" applyFill="1" applyBorder="1" applyAlignment="1">
      <alignment horizontal="center"/>
    </xf>
    <xf numFmtId="164" fontId="5" fillId="3" borderId="44" xfId="1" applyNumberFormat="1" applyFont="1" applyFill="1" applyBorder="1" applyAlignment="1">
      <alignment horizontal="center"/>
    </xf>
    <xf numFmtId="0" fontId="0" fillId="5" borderId="25" xfId="0" applyFill="1" applyBorder="1" applyAlignment="1">
      <alignment horizontal="left" indent="1"/>
    </xf>
    <xf numFmtId="0" fontId="0" fillId="5" borderId="26" xfId="0" applyFill="1" applyBorder="1" applyAlignment="1">
      <alignment horizontal="left" indent="1"/>
    </xf>
    <xf numFmtId="0" fontId="0" fillId="5" borderId="27" xfId="0" applyFill="1" applyBorder="1" applyAlignment="1">
      <alignment horizontal="left" indent="1"/>
    </xf>
    <xf numFmtId="166" fontId="5" fillId="0" borderId="43" xfId="1" applyNumberFormat="1" applyFont="1" applyFill="1" applyBorder="1" applyAlignment="1">
      <alignment horizontal="right"/>
    </xf>
    <xf numFmtId="166" fontId="5" fillId="0" borderId="24" xfId="1" applyNumberFormat="1" applyFont="1" applyFill="1" applyBorder="1" applyAlignment="1">
      <alignment horizontal="right"/>
    </xf>
    <xf numFmtId="0" fontId="2" fillId="5" borderId="5" xfId="0" applyFont="1" applyFill="1" applyBorder="1" applyAlignment="1">
      <alignment horizontal="left"/>
    </xf>
    <xf numFmtId="0" fontId="2" fillId="5" borderId="0" xfId="0" applyFont="1" applyFill="1" applyAlignment="1">
      <alignment horizontal="left"/>
    </xf>
    <xf numFmtId="0" fontId="2" fillId="5" borderId="50" xfId="0" applyFont="1" applyFill="1" applyBorder="1" applyAlignment="1">
      <alignment horizontal="left"/>
    </xf>
    <xf numFmtId="0" fontId="2" fillId="5" borderId="1" xfId="0" applyFont="1" applyFill="1" applyBorder="1" applyAlignment="1">
      <alignment horizontal="left" vertical="center"/>
    </xf>
    <xf numFmtId="0" fontId="2" fillId="5" borderId="2" xfId="0" applyFont="1" applyFill="1" applyBorder="1" applyAlignment="1">
      <alignment horizontal="left" vertical="center"/>
    </xf>
    <xf numFmtId="0" fontId="2" fillId="5" borderId="49" xfId="0" applyFont="1" applyFill="1" applyBorder="1" applyAlignment="1">
      <alignment horizontal="left" vertical="center"/>
    </xf>
    <xf numFmtId="0" fontId="2" fillId="5" borderId="46" xfId="0" applyFont="1" applyFill="1" applyBorder="1" applyAlignment="1">
      <alignment horizontal="center" vertical="center"/>
    </xf>
    <xf numFmtId="0" fontId="2" fillId="5" borderId="48" xfId="0" applyFont="1" applyFill="1" applyBorder="1" applyAlignment="1">
      <alignment horizontal="center" vertical="center"/>
    </xf>
    <xf numFmtId="0" fontId="2" fillId="5" borderId="46"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33" xfId="0" applyFont="1" applyFill="1" applyBorder="1" applyAlignment="1">
      <alignment horizontal="center" vertical="center"/>
    </xf>
    <xf numFmtId="164" fontId="7" fillId="3" borderId="34" xfId="1" applyNumberFormat="1" applyFont="1" applyFill="1" applyBorder="1" applyAlignment="1">
      <alignment horizontal="right"/>
    </xf>
    <xf numFmtId="164" fontId="7" fillId="3" borderId="22" xfId="1" applyNumberFormat="1" applyFont="1" applyFill="1" applyBorder="1" applyAlignment="1">
      <alignment horizontal="right"/>
    </xf>
    <xf numFmtId="0" fontId="5" fillId="3" borderId="38" xfId="0" applyFont="1" applyFill="1" applyBorder="1" applyAlignment="1">
      <alignment horizontal="right"/>
    </xf>
    <xf numFmtId="0" fontId="5" fillId="3" borderId="0" xfId="0" applyFont="1" applyFill="1" applyAlignment="1">
      <alignment horizontal="right"/>
    </xf>
    <xf numFmtId="0" fontId="10" fillId="3" borderId="41" xfId="0" applyFont="1" applyFill="1" applyBorder="1" applyAlignment="1">
      <alignment horizontal="right"/>
    </xf>
    <xf numFmtId="0" fontId="10" fillId="3" borderId="26" xfId="0" applyFont="1" applyFill="1" applyBorder="1" applyAlignment="1">
      <alignment horizontal="right"/>
    </xf>
    <xf numFmtId="0" fontId="10" fillId="3" borderId="42" xfId="0" applyFont="1" applyFill="1" applyBorder="1" applyAlignment="1">
      <alignment horizontal="right"/>
    </xf>
    <xf numFmtId="0" fontId="10" fillId="3" borderId="35" xfId="0" applyFont="1" applyFill="1" applyBorder="1" applyAlignment="1">
      <alignment horizontal="right"/>
    </xf>
    <xf numFmtId="0" fontId="10" fillId="3" borderId="29" xfId="0" applyFont="1" applyFill="1" applyBorder="1" applyAlignment="1">
      <alignment horizontal="right"/>
    </xf>
    <xf numFmtId="0" fontId="10" fillId="3" borderId="45" xfId="0" applyFont="1" applyFill="1" applyBorder="1" applyAlignment="1">
      <alignment horizontal="right"/>
    </xf>
    <xf numFmtId="0" fontId="5" fillId="3" borderId="43" xfId="0" applyFont="1" applyFill="1" applyBorder="1" applyAlignment="1">
      <alignment horizontal="right"/>
    </xf>
    <xf numFmtId="0" fontId="5" fillId="3" borderId="21" xfId="0" applyFont="1" applyFill="1" applyBorder="1" applyAlignment="1">
      <alignment horizontal="right"/>
    </xf>
    <xf numFmtId="43" fontId="5" fillId="3" borderId="40" xfId="0" applyNumberFormat="1" applyFont="1" applyFill="1" applyBorder="1" applyAlignment="1">
      <alignment horizontal="right"/>
    </xf>
    <xf numFmtId="43" fontId="5" fillId="3" borderId="2" xfId="0" applyNumberFormat="1" applyFont="1" applyFill="1" applyBorder="1" applyAlignment="1">
      <alignment horizontal="right"/>
    </xf>
    <xf numFmtId="43" fontId="5" fillId="3" borderId="38" xfId="0" applyNumberFormat="1" applyFont="1" applyFill="1" applyBorder="1" applyAlignment="1">
      <alignment horizontal="right"/>
    </xf>
    <xf numFmtId="43" fontId="5" fillId="3" borderId="0" xfId="0" applyNumberFormat="1" applyFont="1" applyFill="1" applyAlignment="1">
      <alignment horizontal="right"/>
    </xf>
    <xf numFmtId="0" fontId="10" fillId="3" borderId="38" xfId="0" applyFont="1" applyFill="1" applyBorder="1" applyAlignment="1">
      <alignment horizontal="right"/>
    </xf>
    <xf numFmtId="0" fontId="10" fillId="3" borderId="0" xfId="0" applyFont="1" applyFill="1" applyAlignment="1">
      <alignment horizontal="right"/>
    </xf>
    <xf numFmtId="0" fontId="10" fillId="3" borderId="4" xfId="0" applyFont="1" applyFill="1" applyBorder="1" applyAlignment="1">
      <alignment horizontal="right"/>
    </xf>
    <xf numFmtId="43" fontId="5" fillId="3" borderId="34" xfId="1" applyFont="1" applyFill="1" applyBorder="1" applyAlignment="1">
      <alignment horizontal="center"/>
    </xf>
    <xf numFmtId="43" fontId="5" fillId="3" borderId="22" xfId="1" applyFont="1" applyFill="1" applyBorder="1" applyAlignment="1">
      <alignment horizontal="center"/>
    </xf>
    <xf numFmtId="43" fontId="5" fillId="3" borderId="17" xfId="1" applyFont="1" applyFill="1" applyBorder="1" applyAlignment="1">
      <alignment horizontal="center"/>
    </xf>
    <xf numFmtId="43" fontId="5" fillId="3" borderId="47" xfId="1" applyFont="1" applyFill="1" applyBorder="1" applyAlignment="1">
      <alignment horizontal="center"/>
    </xf>
    <xf numFmtId="43" fontId="5" fillId="3" borderId="35" xfId="1" applyFont="1" applyFill="1" applyBorder="1" applyAlignment="1">
      <alignment horizontal="center"/>
    </xf>
    <xf numFmtId="43" fontId="5" fillId="3" borderId="30" xfId="1" applyFont="1" applyFill="1" applyBorder="1" applyAlignment="1">
      <alignment horizontal="center"/>
    </xf>
    <xf numFmtId="43" fontId="5" fillId="3" borderId="29" xfId="1" applyFont="1" applyFill="1" applyBorder="1" applyAlignment="1">
      <alignment horizontal="center"/>
    </xf>
    <xf numFmtId="43" fontId="5" fillId="3" borderId="45" xfId="1" applyFont="1" applyFill="1" applyBorder="1" applyAlignment="1">
      <alignment horizontal="center"/>
    </xf>
    <xf numFmtId="164" fontId="5" fillId="0" borderId="34" xfId="1" applyNumberFormat="1" applyFont="1" applyFill="1" applyBorder="1" applyAlignment="1">
      <alignment horizontal="center"/>
    </xf>
    <xf numFmtId="164" fontId="5" fillId="0" borderId="17"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0" borderId="35"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45" xfId="1" applyNumberFormat="1" applyFont="1" applyFill="1" applyBorder="1" applyAlignment="1">
      <alignment horizontal="center"/>
    </xf>
    <xf numFmtId="0" fontId="2" fillId="8" borderId="46" xfId="0" applyFont="1" applyFill="1" applyBorder="1" applyAlignment="1">
      <alignment horizontal="center"/>
    </xf>
    <xf numFmtId="0" fontId="2" fillId="8" borderId="48" xfId="0" applyFont="1" applyFill="1" applyBorder="1" applyAlignment="1">
      <alignment horizontal="center"/>
    </xf>
    <xf numFmtId="0" fontId="2" fillId="8" borderId="13" xfId="0" applyFont="1" applyFill="1" applyBorder="1" applyAlignment="1">
      <alignment horizontal="center"/>
    </xf>
    <xf numFmtId="0" fontId="2" fillId="8" borderId="33" xfId="0" applyFont="1" applyFill="1" applyBorder="1" applyAlignment="1">
      <alignment horizontal="center"/>
    </xf>
    <xf numFmtId="164" fontId="5" fillId="3" borderId="38"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0" borderId="39" xfId="1" applyNumberFormat="1" applyFont="1" applyFill="1" applyBorder="1" applyAlignment="1">
      <alignment horizontal="center"/>
    </xf>
    <xf numFmtId="164" fontId="5" fillId="0" borderId="7" xfId="1" applyNumberFormat="1" applyFont="1" applyFill="1" applyBorder="1" applyAlignment="1">
      <alignment horizontal="center"/>
    </xf>
    <xf numFmtId="164" fontId="5" fillId="3" borderId="46" xfId="1" applyNumberFormat="1" applyFont="1" applyFill="1" applyBorder="1" applyAlignment="1">
      <alignment horizontal="center"/>
    </xf>
    <xf numFmtId="164" fontId="5" fillId="3" borderId="13" xfId="1" applyNumberFormat="1" applyFont="1" applyFill="1" applyBorder="1" applyAlignment="1">
      <alignment horizontal="center"/>
    </xf>
    <xf numFmtId="164" fontId="5" fillId="3" borderId="33" xfId="1" applyNumberFormat="1" applyFont="1" applyFill="1" applyBorder="1" applyAlignment="1">
      <alignment horizontal="center"/>
    </xf>
    <xf numFmtId="164" fontId="5" fillId="3" borderId="39" xfId="1" applyNumberFormat="1" applyFont="1" applyFill="1" applyBorder="1" applyAlignment="1">
      <alignment horizontal="center"/>
    </xf>
    <xf numFmtId="164" fontId="5" fillId="3" borderId="7" xfId="1" applyNumberFormat="1" applyFont="1" applyFill="1" applyBorder="1" applyAlignment="1">
      <alignment horizontal="center"/>
    </xf>
    <xf numFmtId="164" fontId="7" fillId="3" borderId="40" xfId="0" applyNumberFormat="1" applyFont="1" applyFill="1" applyBorder="1" applyAlignment="1">
      <alignment horizontal="center"/>
    </xf>
    <xf numFmtId="164" fontId="7" fillId="3" borderId="2" xfId="0" applyNumberFormat="1" applyFont="1" applyFill="1" applyBorder="1" applyAlignment="1">
      <alignment horizontal="center"/>
    </xf>
    <xf numFmtId="164" fontId="7" fillId="3" borderId="3" xfId="0" applyNumberFormat="1" applyFont="1" applyFill="1" applyBorder="1" applyAlignment="1">
      <alignment horizontal="center"/>
    </xf>
    <xf numFmtId="164" fontId="7" fillId="3" borderId="38" xfId="1" applyNumberFormat="1" applyFont="1" applyFill="1" applyBorder="1" applyAlignment="1">
      <alignment horizontal="center"/>
    </xf>
    <xf numFmtId="164" fontId="7" fillId="3" borderId="0" xfId="1" applyNumberFormat="1" applyFont="1" applyFill="1" applyBorder="1" applyAlignment="1">
      <alignment horizontal="center"/>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64" fontId="7" fillId="0" borderId="40" xfId="0" applyNumberFormat="1" applyFont="1" applyBorder="1" applyAlignment="1">
      <alignment horizontal="center"/>
    </xf>
    <xf numFmtId="164" fontId="7" fillId="0" borderId="2" xfId="0" applyNumberFormat="1" applyFont="1" applyBorder="1" applyAlignment="1">
      <alignment horizontal="center"/>
    </xf>
    <xf numFmtId="164" fontId="7" fillId="0" borderId="3" xfId="0" applyNumberFormat="1" applyFont="1" applyBorder="1" applyAlignment="1">
      <alignment horizontal="center"/>
    </xf>
    <xf numFmtId="164" fontId="5" fillId="0" borderId="41" xfId="1" applyNumberFormat="1" applyFont="1" applyFill="1" applyBorder="1" applyAlignment="1">
      <alignment horizontal="center"/>
    </xf>
    <xf numFmtId="164" fontId="5" fillId="0" borderId="26" xfId="1" applyNumberFormat="1" applyFont="1" applyFill="1" applyBorder="1" applyAlignment="1">
      <alignment horizontal="center"/>
    </xf>
    <xf numFmtId="164" fontId="7" fillId="0" borderId="35" xfId="1" applyNumberFormat="1" applyFont="1" applyFill="1" applyBorder="1" applyAlignment="1">
      <alignment horizontal="center"/>
    </xf>
    <xf numFmtId="164" fontId="7" fillId="0" borderId="29" xfId="1" applyNumberFormat="1" applyFont="1" applyFill="1" applyBorder="1" applyAlignment="1">
      <alignment horizontal="center"/>
    </xf>
    <xf numFmtId="164" fontId="7" fillId="0" borderId="45" xfId="1" applyNumberFormat="1" applyFont="1" applyFill="1" applyBorder="1" applyAlignment="1">
      <alignment horizontal="center"/>
    </xf>
    <xf numFmtId="164" fontId="7" fillId="0" borderId="43" xfId="1" applyNumberFormat="1" applyFont="1" applyFill="1" applyBorder="1" applyAlignment="1">
      <alignment horizontal="center"/>
    </xf>
    <xf numFmtId="164" fontId="7" fillId="0" borderId="21" xfId="1" applyNumberFormat="1" applyFont="1" applyFill="1" applyBorder="1" applyAlignment="1">
      <alignment horizontal="center"/>
    </xf>
    <xf numFmtId="164" fontId="7" fillId="0" borderId="44" xfId="1" applyNumberFormat="1" applyFont="1" applyFill="1" applyBorder="1" applyAlignment="1">
      <alignment horizontal="center"/>
    </xf>
    <xf numFmtId="164" fontId="5" fillId="3" borderId="41" xfId="1" applyNumberFormat="1" applyFont="1" applyFill="1" applyBorder="1" applyAlignment="1">
      <alignment horizontal="center"/>
    </xf>
    <xf numFmtId="164" fontId="5" fillId="3" borderId="26" xfId="1" applyNumberFormat="1" applyFont="1" applyFill="1" applyBorder="1" applyAlignment="1">
      <alignment horizontal="center"/>
    </xf>
    <xf numFmtId="164" fontId="7" fillId="3" borderId="43" xfId="1" applyNumberFormat="1" applyFont="1" applyFill="1" applyBorder="1" applyAlignment="1">
      <alignment horizontal="center"/>
    </xf>
    <xf numFmtId="164" fontId="7" fillId="3" borderId="21" xfId="1" applyNumberFormat="1" applyFont="1" applyFill="1" applyBorder="1" applyAlignment="1">
      <alignment horizontal="center"/>
    </xf>
    <xf numFmtId="164" fontId="7" fillId="3" borderId="44" xfId="1" applyNumberFormat="1" applyFont="1" applyFill="1" applyBorder="1" applyAlignment="1">
      <alignment horizontal="center"/>
    </xf>
    <xf numFmtId="0" fontId="2" fillId="8" borderId="6" xfId="0" applyFont="1" applyFill="1" applyBorder="1" applyAlignment="1">
      <alignment horizontal="center"/>
    </xf>
    <xf numFmtId="0" fontId="2" fillId="8" borderId="7" xfId="0" applyFont="1" applyFill="1" applyBorder="1" applyAlignment="1">
      <alignment horizontal="center"/>
    </xf>
    <xf numFmtId="0" fontId="2" fillId="8" borderId="8" xfId="0" applyFont="1" applyFill="1" applyBorder="1" applyAlignment="1">
      <alignment horizontal="center"/>
    </xf>
    <xf numFmtId="164" fontId="5" fillId="0" borderId="38" xfId="1" applyNumberFormat="1" applyFont="1" applyFill="1" applyBorder="1" applyAlignment="1">
      <alignment horizontal="center"/>
    </xf>
    <xf numFmtId="164" fontId="5" fillId="0" borderId="0" xfId="1" applyNumberFormat="1" applyFont="1" applyFill="1" applyBorder="1" applyAlignment="1">
      <alignment horizontal="center"/>
    </xf>
    <xf numFmtId="0" fontId="2" fillId="8" borderId="5" xfId="0" applyFont="1" applyFill="1" applyBorder="1" applyAlignment="1">
      <alignment horizontal="center"/>
    </xf>
    <xf numFmtId="0" fontId="2" fillId="8" borderId="0" xfId="0" applyFont="1" applyFill="1" applyAlignment="1">
      <alignment horizontal="center"/>
    </xf>
    <xf numFmtId="0" fontId="2" fillId="8" borderId="4" xfId="0" applyFont="1" applyFill="1" applyBorder="1" applyAlignment="1">
      <alignment horizontal="center"/>
    </xf>
    <xf numFmtId="164" fontId="7" fillId="0" borderId="14" xfId="1" applyNumberFormat="1" applyFont="1" applyFill="1" applyBorder="1" applyAlignment="1">
      <alignment horizontal="center"/>
    </xf>
    <xf numFmtId="164" fontId="7" fillId="0" borderId="15" xfId="1" applyNumberFormat="1" applyFont="1" applyFill="1" applyBorder="1" applyAlignment="1">
      <alignment horizontal="center"/>
    </xf>
    <xf numFmtId="164" fontId="7" fillId="0" borderId="18"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3" borderId="36" xfId="0" applyNumberFormat="1" applyFont="1" applyFill="1" applyBorder="1" applyAlignment="1">
      <alignment horizontal="center"/>
    </xf>
    <xf numFmtId="164" fontId="7" fillId="3" borderId="37" xfId="0" applyNumberFormat="1" applyFont="1" applyFill="1" applyBorder="1" applyAlignment="1">
      <alignment horizontal="center"/>
    </xf>
    <xf numFmtId="0" fontId="0" fillId="5" borderId="16" xfId="0" applyFill="1" applyBorder="1" applyAlignment="1">
      <alignment horizontal="left" indent="1"/>
    </xf>
    <xf numFmtId="0" fontId="0" fillId="5" borderId="17" xfId="0" applyFill="1" applyBorder="1" applyAlignment="1">
      <alignment horizontal="left" indent="1"/>
    </xf>
    <xf numFmtId="0" fontId="0" fillId="5" borderId="22" xfId="0" applyFill="1" applyBorder="1" applyAlignment="1">
      <alignment horizontal="left" indent="1"/>
    </xf>
    <xf numFmtId="0" fontId="2" fillId="5" borderId="25" xfId="0" applyFont="1" applyFill="1" applyBorder="1" applyAlignment="1">
      <alignment horizontal="left"/>
    </xf>
    <xf numFmtId="0" fontId="2" fillId="5" borderId="26" xfId="0" applyFont="1" applyFill="1" applyBorder="1" applyAlignment="1">
      <alignment horizontal="left"/>
    </xf>
    <xf numFmtId="0" fontId="2" fillId="5" borderId="27" xfId="0" applyFont="1" applyFill="1" applyBorder="1" applyAlignment="1">
      <alignment horizontal="left"/>
    </xf>
    <xf numFmtId="0" fontId="2" fillId="5" borderId="16" xfId="0" applyFont="1" applyFill="1" applyBorder="1" applyAlignment="1">
      <alignment horizontal="left" vertical="center"/>
    </xf>
    <xf numFmtId="0" fontId="2" fillId="5" borderId="17" xfId="0" applyFont="1" applyFill="1" applyBorder="1" applyAlignment="1">
      <alignment horizontal="left" vertical="center"/>
    </xf>
    <xf numFmtId="0" fontId="2" fillId="5" borderId="22" xfId="0" applyFont="1" applyFill="1" applyBorder="1" applyAlignment="1">
      <alignment horizontal="left" vertical="center"/>
    </xf>
    <xf numFmtId="0" fontId="2" fillId="5" borderId="28" xfId="0" applyFont="1" applyFill="1" applyBorder="1" applyAlignment="1">
      <alignment horizontal="left" vertical="center"/>
    </xf>
    <xf numFmtId="0" fontId="2" fillId="5" borderId="29" xfId="0" applyFont="1" applyFill="1" applyBorder="1" applyAlignment="1">
      <alignment horizontal="left" vertical="center"/>
    </xf>
    <xf numFmtId="0" fontId="2" fillId="5" borderId="30" xfId="0" applyFont="1" applyFill="1" applyBorder="1" applyAlignment="1">
      <alignment horizontal="left" vertical="center"/>
    </xf>
    <xf numFmtId="0" fontId="0" fillId="3" borderId="31" xfId="0" applyFill="1" applyBorder="1" applyAlignment="1">
      <alignment horizontal="right"/>
    </xf>
    <xf numFmtId="0" fontId="0" fillId="3" borderId="32" xfId="0" applyFill="1" applyBorder="1" applyAlignment="1">
      <alignment horizontal="right"/>
    </xf>
    <xf numFmtId="0" fontId="2" fillId="5" borderId="23" xfId="0" applyFont="1" applyFill="1" applyBorder="1" applyAlignment="1">
      <alignment horizontal="left" vertical="center"/>
    </xf>
    <xf numFmtId="0" fontId="2" fillId="5" borderId="21"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5" borderId="26" xfId="0" applyFont="1" applyFill="1" applyBorder="1" applyAlignment="1">
      <alignment horizontal="left" vertical="center"/>
    </xf>
    <xf numFmtId="0" fontId="2" fillId="5" borderId="27" xfId="0" applyFont="1" applyFill="1" applyBorder="1" applyAlignment="1">
      <alignment horizontal="left" vertical="center"/>
    </xf>
    <xf numFmtId="14" fontId="5" fillId="3" borderId="18" xfId="0" applyNumberFormat="1" applyFont="1" applyFill="1" applyBorder="1" applyAlignment="1">
      <alignment horizontal="right" wrapText="1"/>
    </xf>
    <xf numFmtId="14" fontId="5" fillId="3" borderId="19" xfId="0" applyNumberFormat="1" applyFont="1" applyFill="1" applyBorder="1" applyAlignment="1">
      <alignment horizontal="right" wrapText="1"/>
    </xf>
    <xf numFmtId="164" fontId="5" fillId="3" borderId="18"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0" fontId="2" fillId="5" borderId="20" xfId="0" applyFont="1" applyFill="1" applyBorder="1" applyAlignment="1">
      <alignment horizontal="left" vertical="center"/>
    </xf>
    <xf numFmtId="0" fontId="2" fillId="5" borderId="18"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5" borderId="12" xfId="0" applyFont="1" applyFill="1" applyBorder="1" applyAlignment="1">
      <alignment horizontal="left"/>
    </xf>
    <xf numFmtId="0" fontId="2" fillId="5" borderId="13" xfId="0" applyFont="1" applyFill="1" applyBorder="1" applyAlignment="1">
      <alignment horizontal="left"/>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64" fontId="2" fillId="0" borderId="41" xfId="1" applyNumberFormat="1" applyFont="1" applyFill="1" applyBorder="1" applyAlignment="1">
      <alignment horizontal="center"/>
    </xf>
    <xf numFmtId="164" fontId="2" fillId="0" borderId="27" xfId="1" applyNumberFormat="1" applyFont="1" applyFill="1" applyBorder="1" applyAlignment="1">
      <alignment horizontal="center"/>
    </xf>
    <xf numFmtId="9" fontId="2" fillId="0" borderId="34" xfId="0" applyNumberFormat="1" applyFont="1" applyBorder="1" applyAlignment="1">
      <alignment horizontal="center"/>
    </xf>
    <xf numFmtId="0" fontId="2" fillId="0" borderId="22" xfId="0" applyFont="1" applyBorder="1" applyAlignment="1">
      <alignment horizontal="center"/>
    </xf>
    <xf numFmtId="164" fontId="2" fillId="0" borderId="41" xfId="1" applyNumberFormat="1" applyFont="1" applyFill="1" applyBorder="1" applyAlignment="1">
      <alignment horizontal="right"/>
    </xf>
    <xf numFmtId="164" fontId="2" fillId="0" borderId="27" xfId="1" applyNumberFormat="1" applyFont="1" applyFill="1" applyBorder="1" applyAlignment="1">
      <alignment horizontal="right"/>
    </xf>
    <xf numFmtId="9" fontId="2" fillId="0" borderId="41" xfId="2" applyFont="1" applyFill="1" applyBorder="1" applyAlignment="1">
      <alignment horizontal="center"/>
    </xf>
    <xf numFmtId="9" fontId="2" fillId="0" borderId="27" xfId="2" applyFont="1" applyFill="1" applyBorder="1" applyAlignment="1">
      <alignment horizontal="center"/>
    </xf>
    <xf numFmtId="164" fontId="0" fillId="0" borderId="38" xfId="1" applyNumberFormat="1" applyFont="1" applyFill="1" applyBorder="1" applyAlignment="1">
      <alignment horizontal="center"/>
    </xf>
    <xf numFmtId="164" fontId="0" fillId="0" borderId="50" xfId="1" applyNumberFormat="1" applyFont="1" applyFill="1" applyBorder="1" applyAlignment="1">
      <alignment horizontal="center"/>
    </xf>
    <xf numFmtId="9" fontId="0" fillId="0" borderId="0" xfId="2" applyFont="1" applyFill="1" applyBorder="1" applyAlignment="1">
      <alignment horizontal="center"/>
    </xf>
    <xf numFmtId="164" fontId="0" fillId="3" borderId="38" xfId="1" applyNumberFormat="1" applyFont="1" applyFill="1" applyBorder="1" applyAlignment="1">
      <alignment horizontal="center"/>
    </xf>
    <xf numFmtId="164" fontId="0" fillId="3" borderId="50" xfId="1" applyNumberFormat="1" applyFont="1" applyFill="1" applyBorder="1" applyAlignment="1">
      <alignment horizontal="center"/>
    </xf>
    <xf numFmtId="9" fontId="0" fillId="0" borderId="38" xfId="2" applyFont="1" applyFill="1" applyBorder="1" applyAlignment="1">
      <alignment horizontal="center"/>
    </xf>
    <xf numFmtId="9" fontId="0" fillId="0" borderId="50" xfId="2" applyFont="1" applyFill="1" applyBorder="1" applyAlignment="1">
      <alignment horizontal="center"/>
    </xf>
    <xf numFmtId="164" fontId="0" fillId="0" borderId="41" xfId="1" applyNumberFormat="1" applyFont="1" applyFill="1" applyBorder="1" applyAlignment="1">
      <alignment horizontal="center"/>
    </xf>
    <xf numFmtId="164" fontId="0" fillId="0" borderId="27" xfId="1" applyNumberFormat="1" applyFont="1" applyFill="1" applyBorder="1" applyAlignment="1">
      <alignment horizontal="center"/>
    </xf>
    <xf numFmtId="164" fontId="0" fillId="3" borderId="41" xfId="1" applyNumberFormat="1" applyFont="1" applyFill="1" applyBorder="1" applyAlignment="1">
      <alignment horizontal="center"/>
    </xf>
    <xf numFmtId="164" fontId="0" fillId="3" borderId="27" xfId="1" applyNumberFormat="1" applyFont="1" applyFill="1" applyBorder="1" applyAlignment="1">
      <alignment horizontal="center"/>
    </xf>
    <xf numFmtId="9" fontId="0" fillId="0" borderId="41" xfId="2" applyFont="1" applyFill="1" applyBorder="1" applyAlignment="1">
      <alignment horizontal="center"/>
    </xf>
    <xf numFmtId="9" fontId="0" fillId="0" borderId="27" xfId="2" applyFont="1" applyFill="1" applyBorder="1" applyAlignment="1">
      <alignment horizontal="center"/>
    </xf>
    <xf numFmtId="0" fontId="2" fillId="5" borderId="43" xfId="0" applyFont="1" applyFill="1" applyBorder="1" applyAlignment="1">
      <alignment horizontal="center"/>
    </xf>
    <xf numFmtId="0" fontId="2" fillId="5" borderId="24" xfId="0" applyFont="1" applyFill="1" applyBorder="1" applyAlignment="1">
      <alignment horizontal="center"/>
    </xf>
    <xf numFmtId="164" fontId="0" fillId="0" borderId="43" xfId="1" applyNumberFormat="1" applyFont="1" applyFill="1" applyBorder="1" applyAlignment="1">
      <alignment horizontal="center"/>
    </xf>
    <xf numFmtId="164" fontId="0" fillId="0" borderId="24" xfId="1" applyNumberFormat="1" applyFont="1" applyFill="1" applyBorder="1" applyAlignment="1">
      <alignment horizontal="center"/>
    </xf>
    <xf numFmtId="164" fontId="0" fillId="3" borderId="43" xfId="1" applyNumberFormat="1" applyFont="1" applyFill="1" applyBorder="1" applyAlignment="1">
      <alignment horizontal="center"/>
    </xf>
    <xf numFmtId="164" fontId="0" fillId="3" borderId="24" xfId="1" applyNumberFormat="1" applyFont="1" applyFill="1" applyBorder="1" applyAlignment="1">
      <alignment horizontal="center"/>
    </xf>
    <xf numFmtId="9" fontId="0" fillId="0" borderId="43" xfId="2" applyFont="1" applyFill="1" applyBorder="1" applyAlignment="1">
      <alignment horizontal="center"/>
    </xf>
    <xf numFmtId="9" fontId="0" fillId="0" borderId="24" xfId="2" applyFont="1" applyFill="1" applyBorder="1" applyAlignment="1">
      <alignment horizontal="center"/>
    </xf>
    <xf numFmtId="9" fontId="0" fillId="3" borderId="0" xfId="2" applyFont="1" applyFill="1" applyBorder="1" applyAlignment="1">
      <alignment horizontal="center"/>
    </xf>
    <xf numFmtId="9" fontId="0" fillId="3" borderId="50" xfId="2" applyFont="1" applyFill="1" applyBorder="1" applyAlignment="1">
      <alignment horizontal="center"/>
    </xf>
    <xf numFmtId="164" fontId="2" fillId="3" borderId="41" xfId="1" applyNumberFormat="1" applyFont="1" applyFill="1" applyBorder="1" applyAlignment="1">
      <alignment horizontal="center"/>
    </xf>
    <xf numFmtId="164" fontId="2" fillId="3" borderId="27" xfId="1" applyNumberFormat="1" applyFont="1" applyFill="1" applyBorder="1" applyAlignment="1">
      <alignment horizontal="center"/>
    </xf>
    <xf numFmtId="9" fontId="2" fillId="3" borderId="34" xfId="0" applyNumberFormat="1" applyFont="1" applyFill="1" applyBorder="1" applyAlignment="1">
      <alignment horizontal="center"/>
    </xf>
    <xf numFmtId="9" fontId="2" fillId="3" borderId="22" xfId="0" applyNumberFormat="1" applyFont="1" applyFill="1" applyBorder="1" applyAlignment="1">
      <alignment horizontal="center"/>
    </xf>
    <xf numFmtId="0" fontId="2" fillId="3" borderId="22" xfId="0" applyFont="1" applyFill="1" applyBorder="1" applyAlignment="1">
      <alignment horizontal="center"/>
    </xf>
    <xf numFmtId="0" fontId="2" fillId="5" borderId="21" xfId="0" applyFont="1" applyFill="1" applyBorder="1" applyAlignment="1">
      <alignment horizontal="center"/>
    </xf>
    <xf numFmtId="9" fontId="0" fillId="3" borderId="21" xfId="2" applyFont="1" applyFill="1" applyBorder="1" applyAlignment="1">
      <alignment horizontal="center"/>
    </xf>
    <xf numFmtId="9" fontId="0" fillId="3" borderId="24" xfId="2" applyFont="1" applyFill="1" applyBorder="1" applyAlignment="1">
      <alignment horizontal="center"/>
    </xf>
    <xf numFmtId="9" fontId="0" fillId="3" borderId="26" xfId="2" applyFont="1" applyFill="1" applyBorder="1" applyAlignment="1">
      <alignment horizontal="center"/>
    </xf>
    <xf numFmtId="9" fontId="0" fillId="3" borderId="27" xfId="2" applyFont="1" applyFill="1" applyBorder="1" applyAlignment="1">
      <alignment horizontal="center"/>
    </xf>
    <xf numFmtId="164" fontId="2" fillId="3" borderId="41" xfId="0" applyNumberFormat="1" applyFont="1" applyFill="1" applyBorder="1" applyAlignment="1">
      <alignment horizontal="center"/>
    </xf>
    <xf numFmtId="0" fontId="2" fillId="3" borderId="27" xfId="0" applyFont="1" applyFill="1" applyBorder="1" applyAlignment="1">
      <alignment horizontal="center"/>
    </xf>
    <xf numFmtId="9" fontId="2" fillId="3" borderId="34" xfId="2" applyFont="1" applyFill="1" applyBorder="1" applyAlignment="1">
      <alignment horizontal="center"/>
    </xf>
    <xf numFmtId="9" fontId="2" fillId="3" borderId="22" xfId="2"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33" xfId="0" applyFont="1" applyFill="1" applyBorder="1" applyAlignment="1">
      <alignment horizontal="center"/>
    </xf>
    <xf numFmtId="9" fontId="7" fillId="3" borderId="34" xfId="2" applyFont="1" applyFill="1" applyBorder="1" applyAlignment="1">
      <alignment horizontal="center"/>
    </xf>
    <xf numFmtId="9" fontId="7" fillId="3" borderId="17" xfId="2" applyFont="1" applyFill="1" applyBorder="1" applyAlignment="1">
      <alignment horizontal="center"/>
    </xf>
    <xf numFmtId="9" fontId="7" fillId="3" borderId="22" xfId="2" applyFont="1" applyFill="1" applyBorder="1" applyAlignment="1">
      <alignment horizontal="center"/>
    </xf>
    <xf numFmtId="10" fontId="7" fillId="3" borderId="34" xfId="2" applyNumberFormat="1" applyFont="1" applyFill="1" applyBorder="1" applyAlignment="1">
      <alignment horizontal="center"/>
    </xf>
    <xf numFmtId="10" fontId="7" fillId="3" borderId="17" xfId="2" applyNumberFormat="1" applyFont="1" applyFill="1" applyBorder="1" applyAlignment="1">
      <alignment horizontal="center"/>
    </xf>
    <xf numFmtId="10" fontId="7" fillId="3" borderId="22" xfId="2" applyNumberFormat="1" applyFont="1" applyFill="1" applyBorder="1" applyAlignment="1">
      <alignment horizontal="center"/>
    </xf>
    <xf numFmtId="10" fontId="7" fillId="0" borderId="34" xfId="2" applyNumberFormat="1" applyFont="1" applyFill="1" applyBorder="1" applyAlignment="1">
      <alignment horizontal="center"/>
    </xf>
    <xf numFmtId="10" fontId="7" fillId="0" borderId="17" xfId="2" applyNumberFormat="1" applyFont="1" applyFill="1" applyBorder="1" applyAlignment="1">
      <alignment horizontal="center"/>
    </xf>
    <xf numFmtId="10" fontId="7" fillId="0" borderId="47" xfId="2" applyNumberFormat="1" applyFont="1" applyFill="1" applyBorder="1" applyAlignment="1">
      <alignment horizontal="center"/>
    </xf>
    <xf numFmtId="9" fontId="7" fillId="3" borderId="35" xfId="2" applyFont="1" applyFill="1" applyBorder="1" applyAlignment="1">
      <alignment horizontal="center"/>
    </xf>
    <xf numFmtId="9" fontId="7" fillId="3" borderId="29" xfId="2" applyFont="1" applyFill="1" applyBorder="1" applyAlignment="1">
      <alignment horizontal="center"/>
    </xf>
    <xf numFmtId="9" fontId="7" fillId="3" borderId="30" xfId="2" applyFont="1" applyFill="1" applyBorder="1" applyAlignment="1">
      <alignment horizontal="center"/>
    </xf>
    <xf numFmtId="10" fontId="7" fillId="3" borderId="35" xfId="2" applyNumberFormat="1" applyFont="1" applyFill="1" applyBorder="1" applyAlignment="1">
      <alignment horizontal="center"/>
    </xf>
    <xf numFmtId="10" fontId="7" fillId="3" borderId="29" xfId="2" applyNumberFormat="1" applyFont="1" applyFill="1" applyBorder="1" applyAlignment="1">
      <alignment horizontal="center"/>
    </xf>
    <xf numFmtId="10" fontId="7" fillId="3" borderId="30" xfId="2" applyNumberFormat="1" applyFont="1" applyFill="1" applyBorder="1" applyAlignment="1">
      <alignment horizontal="center"/>
    </xf>
    <xf numFmtId="0" fontId="6" fillId="3" borderId="34" xfId="0" applyFont="1" applyFill="1" applyBorder="1" applyAlignment="1">
      <alignment horizontal="center"/>
    </xf>
    <xf numFmtId="0" fontId="6" fillId="3" borderId="17" xfId="0" applyFont="1" applyFill="1" applyBorder="1" applyAlignment="1">
      <alignment horizontal="center"/>
    </xf>
    <xf numFmtId="0" fontId="6" fillId="3" borderId="22" xfId="0" applyFont="1" applyFill="1" applyBorder="1" applyAlignment="1">
      <alignment horizontal="center"/>
    </xf>
    <xf numFmtId="10" fontId="5" fillId="0" borderId="34" xfId="0" applyNumberFormat="1" applyFont="1" applyBorder="1" applyAlignment="1">
      <alignment horizontal="center"/>
    </xf>
    <xf numFmtId="10" fontId="5" fillId="0" borderId="17" xfId="0" applyNumberFormat="1" applyFont="1" applyBorder="1" applyAlignment="1">
      <alignment horizontal="center"/>
    </xf>
    <xf numFmtId="10" fontId="5" fillId="0" borderId="47" xfId="0" applyNumberFormat="1" applyFont="1" applyBorder="1" applyAlignment="1">
      <alignment horizontal="center"/>
    </xf>
    <xf numFmtId="2" fontId="7" fillId="3" borderId="34" xfId="0" applyNumberFormat="1" applyFont="1" applyFill="1" applyBorder="1" applyAlignment="1">
      <alignment horizontal="center"/>
    </xf>
    <xf numFmtId="2" fontId="7" fillId="3" borderId="17" xfId="0" applyNumberFormat="1" applyFont="1" applyFill="1" applyBorder="1" applyAlignment="1">
      <alignment horizontal="center"/>
    </xf>
    <xf numFmtId="2" fontId="7" fillId="3" borderId="22" xfId="0" applyNumberFormat="1" applyFont="1" applyFill="1" applyBorder="1" applyAlignment="1">
      <alignment horizontal="center"/>
    </xf>
    <xf numFmtId="2" fontId="7" fillId="0" borderId="34" xfId="0" applyNumberFormat="1" applyFont="1" applyBorder="1" applyAlignment="1">
      <alignment horizontal="center"/>
    </xf>
    <xf numFmtId="2" fontId="7" fillId="0" borderId="17" xfId="0" applyNumberFormat="1" applyFont="1" applyBorder="1" applyAlignment="1">
      <alignment horizontal="center"/>
    </xf>
    <xf numFmtId="2" fontId="7" fillId="0" borderId="47" xfId="0" applyNumberFormat="1" applyFont="1" applyBorder="1" applyAlignment="1">
      <alignment horizontal="center"/>
    </xf>
    <xf numFmtId="9" fontId="6" fillId="3" borderId="34" xfId="0" applyNumberFormat="1" applyFont="1" applyFill="1" applyBorder="1" applyAlignment="1">
      <alignment horizontal="center"/>
    </xf>
    <xf numFmtId="10" fontId="7" fillId="0" borderId="34" xfId="0" applyNumberFormat="1" applyFont="1" applyBorder="1" applyAlignment="1">
      <alignment horizontal="center"/>
    </xf>
    <xf numFmtId="10" fontId="7" fillId="0" borderId="17" xfId="0" applyNumberFormat="1" applyFont="1" applyBorder="1" applyAlignment="1">
      <alignment horizontal="center"/>
    </xf>
    <xf numFmtId="10" fontId="7" fillId="0" borderId="47" xfId="0" applyNumberFormat="1" applyFont="1" applyBorder="1" applyAlignment="1">
      <alignment horizontal="center"/>
    </xf>
    <xf numFmtId="164" fontId="7" fillId="3" borderId="38" xfId="1" applyNumberFormat="1" applyFont="1" applyFill="1" applyBorder="1" applyAlignment="1">
      <alignment horizontal="right"/>
    </xf>
    <xf numFmtId="164" fontId="7" fillId="3" borderId="0" xfId="1" applyNumberFormat="1" applyFont="1" applyFill="1" applyBorder="1" applyAlignment="1">
      <alignment horizontal="right"/>
    </xf>
    <xf numFmtId="164" fontId="7" fillId="3" borderId="41" xfId="1" applyNumberFormat="1" applyFont="1" applyFill="1" applyBorder="1" applyAlignment="1">
      <alignment horizontal="right"/>
    </xf>
    <xf numFmtId="164" fontId="7" fillId="3" borderId="26" xfId="1" applyNumberFormat="1" applyFont="1" applyFill="1" applyBorder="1" applyAlignment="1">
      <alignment horizontal="right"/>
    </xf>
    <xf numFmtId="164" fontId="7" fillId="3" borderId="39"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53" xfId="1" applyNumberFormat="1" applyFont="1" applyFill="1" applyBorder="1" applyAlignment="1">
      <alignment horizontal="right"/>
    </xf>
    <xf numFmtId="164" fontId="7" fillId="3" borderId="8"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21" xfId="1" applyNumberFormat="1" applyFont="1" applyFill="1" applyBorder="1" applyAlignment="1">
      <alignment horizontal="right"/>
    </xf>
    <xf numFmtId="164" fontId="7" fillId="3" borderId="24" xfId="1" applyNumberFormat="1" applyFont="1" applyFill="1" applyBorder="1" applyAlignment="1">
      <alignment horizontal="right"/>
    </xf>
    <xf numFmtId="164" fontId="7" fillId="0" borderId="38" xfId="1" applyNumberFormat="1" applyFont="1" applyFill="1" applyBorder="1" applyAlignment="1">
      <alignment horizontal="right"/>
    </xf>
    <xf numFmtId="164" fontId="7" fillId="0" borderId="0" xfId="1" applyNumberFormat="1" applyFont="1" applyFill="1" applyAlignment="1">
      <alignment horizontal="right"/>
    </xf>
    <xf numFmtId="164" fontId="7" fillId="0" borderId="0" xfId="1" applyNumberFormat="1" applyFont="1" applyFill="1" applyBorder="1" applyAlignment="1">
      <alignment horizontal="right"/>
    </xf>
    <xf numFmtId="164" fontId="7" fillId="3" borderId="17" xfId="1" applyNumberFormat="1" applyFont="1" applyFill="1" applyBorder="1" applyAlignment="1">
      <alignment horizontal="right"/>
    </xf>
    <xf numFmtId="164" fontId="7" fillId="3" borderId="44" xfId="1" applyNumberFormat="1" applyFont="1" applyFill="1" applyBorder="1" applyAlignment="1">
      <alignment horizontal="right"/>
    </xf>
    <xf numFmtId="164" fontId="7" fillId="0" borderId="4" xfId="1" applyNumberFormat="1" applyFont="1" applyFill="1" applyBorder="1" applyAlignment="1">
      <alignment horizontal="right"/>
    </xf>
    <xf numFmtId="164" fontId="7" fillId="0" borderId="0" xfId="1" applyNumberFormat="1" applyFont="1" applyFill="1" applyBorder="1" applyAlignment="1">
      <alignment horizontal="center"/>
    </xf>
    <xf numFmtId="164" fontId="7" fillId="0" borderId="41" xfId="1" applyNumberFormat="1" applyFont="1" applyFill="1" applyBorder="1" applyAlignment="1">
      <alignment horizontal="center"/>
    </xf>
    <xf numFmtId="164" fontId="7" fillId="0" borderId="26" xfId="1" applyNumberFormat="1" applyFont="1" applyFill="1" applyBorder="1" applyAlignment="1">
      <alignment horizontal="center"/>
    </xf>
    <xf numFmtId="0" fontId="2" fillId="8" borderId="25" xfId="0" applyFont="1" applyFill="1" applyBorder="1" applyAlignment="1">
      <alignment horizontal="center"/>
    </xf>
    <xf numFmtId="0" fontId="2" fillId="8" borderId="26" xfId="0" applyFont="1" applyFill="1" applyBorder="1" applyAlignment="1">
      <alignment horizontal="center"/>
    </xf>
    <xf numFmtId="0" fontId="2" fillId="8" borderId="42" xfId="0" applyFont="1" applyFill="1" applyBorder="1" applyAlignment="1">
      <alignment horizontal="center"/>
    </xf>
    <xf numFmtId="164" fontId="7" fillId="3" borderId="29" xfId="1" applyNumberFormat="1" applyFont="1" applyFill="1" applyBorder="1" applyAlignment="1">
      <alignment horizontal="right"/>
    </xf>
    <xf numFmtId="164" fontId="7" fillId="3" borderId="45" xfId="1" applyNumberFormat="1" applyFont="1" applyFill="1" applyBorder="1" applyAlignment="1">
      <alignment horizontal="right"/>
    </xf>
    <xf numFmtId="164" fontId="7" fillId="0" borderId="34" xfId="1" applyNumberFormat="1" applyFont="1" applyFill="1" applyBorder="1" applyAlignment="1">
      <alignment horizontal="right"/>
    </xf>
    <xf numFmtId="164" fontId="7" fillId="0" borderId="17" xfId="1" applyNumberFormat="1" applyFont="1" applyFill="1" applyBorder="1" applyAlignment="1">
      <alignment horizontal="right"/>
    </xf>
    <xf numFmtId="164" fontId="7" fillId="0" borderId="47" xfId="1" applyNumberFormat="1" applyFont="1" applyFill="1" applyBorder="1" applyAlignment="1">
      <alignment horizontal="right"/>
    </xf>
    <xf numFmtId="164" fontId="7" fillId="0" borderId="43" xfId="1" applyNumberFormat="1" applyFont="1" applyFill="1" applyBorder="1" applyAlignment="1">
      <alignment horizontal="right"/>
    </xf>
    <xf numFmtId="164" fontId="7" fillId="0" borderId="21" xfId="1" applyNumberFormat="1" applyFont="1" applyFill="1" applyBorder="1" applyAlignment="1">
      <alignment horizontal="right"/>
    </xf>
    <xf numFmtId="164" fontId="7" fillId="0" borderId="44" xfId="1" applyNumberFormat="1" applyFont="1" applyFill="1" applyBorder="1" applyAlignment="1">
      <alignment horizontal="right"/>
    </xf>
    <xf numFmtId="164" fontId="7" fillId="0" borderId="38" xfId="1" applyNumberFormat="1" applyFont="1" applyFill="1" applyBorder="1" applyAlignment="1">
      <alignment horizontal="center"/>
    </xf>
    <xf numFmtId="0" fontId="2" fillId="8" borderId="16" xfId="0" applyFont="1" applyFill="1" applyBorder="1" applyAlignment="1">
      <alignment horizontal="center"/>
    </xf>
    <xf numFmtId="0" fontId="2" fillId="8" borderId="17" xfId="0" applyFont="1" applyFill="1" applyBorder="1" applyAlignment="1">
      <alignment horizontal="center"/>
    </xf>
    <xf numFmtId="0" fontId="2" fillId="8" borderId="47" xfId="0" applyFont="1" applyFill="1" applyBorder="1" applyAlignment="1">
      <alignment horizontal="center"/>
    </xf>
    <xf numFmtId="164" fontId="7" fillId="0" borderId="41" xfId="1" applyNumberFormat="1" applyFont="1" applyFill="1" applyBorder="1" applyAlignment="1">
      <alignment horizontal="right"/>
    </xf>
    <xf numFmtId="164" fontId="7" fillId="0" borderId="26" xfId="1" applyNumberFormat="1" applyFont="1" applyFill="1" applyBorder="1" applyAlignment="1">
      <alignment horizontal="right"/>
    </xf>
    <xf numFmtId="14" fontId="5" fillId="3" borderId="34" xfId="0" applyNumberFormat="1" applyFont="1" applyFill="1" applyBorder="1" applyAlignment="1">
      <alignment horizontal="right" wrapText="1"/>
    </xf>
    <xf numFmtId="14" fontId="5" fillId="3" borderId="17" xfId="0" applyNumberFormat="1" applyFont="1" applyFill="1" applyBorder="1" applyAlignment="1">
      <alignment horizontal="right" wrapText="1"/>
    </xf>
    <xf numFmtId="14" fontId="5" fillId="3" borderId="47" xfId="0" applyNumberFormat="1" applyFont="1" applyFill="1" applyBorder="1" applyAlignment="1">
      <alignment horizontal="right" wrapText="1"/>
    </xf>
    <xf numFmtId="0" fontId="0" fillId="3" borderId="18" xfId="0" applyFill="1" applyBorder="1" applyAlignment="1">
      <alignment horizontal="right"/>
    </xf>
    <xf numFmtId="0" fontId="0" fillId="3" borderId="19" xfId="0" applyFill="1" applyBorder="1" applyAlignment="1">
      <alignment horizontal="right"/>
    </xf>
    <xf numFmtId="14" fontId="5" fillId="0" borderId="18" xfId="0" applyNumberFormat="1" applyFont="1" applyBorder="1" applyAlignment="1">
      <alignment horizontal="right" wrapText="1"/>
    </xf>
    <xf numFmtId="14" fontId="5" fillId="0" borderId="19" xfId="0" applyNumberFormat="1" applyFont="1" applyBorder="1" applyAlignment="1">
      <alignment horizontal="right" wrapText="1"/>
    </xf>
    <xf numFmtId="165" fontId="5" fillId="3" borderId="18" xfId="0" applyNumberFormat="1" applyFont="1" applyFill="1" applyBorder="1" applyAlignment="1">
      <alignment horizontal="right" wrapText="1"/>
    </xf>
    <xf numFmtId="165" fontId="5" fillId="3" borderId="19" xfId="0" applyNumberFormat="1" applyFont="1" applyFill="1" applyBorder="1" applyAlignment="1">
      <alignment horizontal="right"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14" fontId="5" fillId="0" borderId="14" xfId="0" applyNumberFormat="1" applyFont="1" applyBorder="1" applyAlignment="1">
      <alignment horizontal="right" wrapText="1"/>
    </xf>
    <xf numFmtId="14" fontId="5" fillId="0" borderId="15" xfId="0" applyNumberFormat="1" applyFont="1" applyBorder="1" applyAlignment="1">
      <alignment horizontal="right" wrapText="1"/>
    </xf>
    <xf numFmtId="0" fontId="2" fillId="5" borderId="50" xfId="0" applyFont="1" applyFill="1" applyBorder="1" applyAlignment="1">
      <alignment horizontal="left" vertical="center"/>
    </xf>
    <xf numFmtId="165" fontId="7" fillId="0" borderId="34" xfId="2" applyNumberFormat="1" applyFont="1" applyFill="1" applyBorder="1" applyAlignment="1">
      <alignment horizontal="right"/>
    </xf>
    <xf numFmtId="165" fontId="7" fillId="0" borderId="19" xfId="2" applyNumberFormat="1" applyFont="1" applyFill="1" applyBorder="1" applyAlignment="1">
      <alignment horizontal="right"/>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tuhfltd.sharepoint.com/sites/Finance2/Shared%20Documents/Finance%20Reports/Reports%20for%202027%20FY/Urban%20Ubomi%201/Investor%20Report/2.%20Aug%202026/Workings/Urban%20Ubomi%201%20Servicer%20Report%20-%2031%20July%202026_Linked%20(use%20this%20one).xlsx" TargetMode="External"/><Relationship Id="rId2" Type="http://schemas.microsoft.com/office/2019/04/relationships/externalLinkLongPath" Target="Urban%20Ubomi%201%20Servicer%20Report%20-%2031%20July%202026_Linked%20(use%20this%20one).xlsx?0E945CB6" TargetMode="External"/><Relationship Id="rId1" Type="http://schemas.openxmlformats.org/officeDocument/2006/relationships/externalLinkPath" Target="file:///\\0E945CB6\Urban%20Ubomi%201%20Servicer%20Report%20-%2031%20July%202026_Linked%20(use%20this%20o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dmin Report"/>
      <sheetName val="Servicer Report"/>
      <sheetName val="Source File"/>
      <sheetName val="Recon"/>
      <sheetName val="Swap calc- JIBAR PRIME"/>
      <sheetName val="Prime Exposure"/>
    </sheetNames>
    <sheetDataSet>
      <sheetData sheetId="0"/>
      <sheetData sheetId="1">
        <row r="82">
          <cell r="G82">
            <v>710370114.55099988</v>
          </cell>
          <cell r="K82">
            <v>121</v>
          </cell>
        </row>
        <row r="83">
          <cell r="G83">
            <v>299480622.80000007</v>
          </cell>
          <cell r="K83">
            <v>34</v>
          </cell>
        </row>
        <row r="84">
          <cell r="G84">
            <v>13848627.640000001</v>
          </cell>
          <cell r="K84">
            <v>6</v>
          </cell>
        </row>
        <row r="85">
          <cell r="G85">
            <v>69110650.564500004</v>
          </cell>
          <cell r="K85">
            <v>16</v>
          </cell>
        </row>
        <row r="86">
          <cell r="G86">
            <v>135535185.29999998</v>
          </cell>
          <cell r="K86">
            <v>33</v>
          </cell>
        </row>
      </sheetData>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Gunning, Nicholas NCM" id="{0AEBCD2C-CD63-44ED-BE93-F38F45196697}" userId="S::Nicholas.Gunning@standardbank.co.za::f2009c57-e3a6-4270-8684-6331fd819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0AEBCD2C-CD63-44ED-BE93-F38F45196697}" id="{B6BED1FE-36AA-4F1F-91FE-8C068BD926A0}">
    <text>1.141.13	Administrator Report Date means the fifteenth twelfth day after each Determination Date, or if any such day is not a Business Day, then the immediately succeeding day that is a Business Day;</text>
  </threadedComment>
  <threadedComment ref="C9" dT="2020-07-10T12:16:41.19" personId="{0AEBCD2C-CD63-44ED-BE93-F38F45196697}" id="{89693A44-BC43-468C-B2BE-28546E9D45D6}">
    <text>1.1021.100	Determination Date means the last Business Day of [December, March, June and September], save for the first Determination Date which will be the date specified in the APS;</text>
  </threadedComment>
  <threadedComment ref="C12" dT="2020-07-10T12:17:28.82" personId="{0AEBCD2C-CD63-44ED-BE93-F38F45196697}" id="{0B56E11F-E09B-4013-A9CE-B0FDCFD18E3D}">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71" dT="2020-07-10T12:19:25.59" personId="{0AEBCD2C-CD63-44ED-BE93-F38F45196697}" id="{C71F54B8-4D5E-4B36-93B1-41E90555C1EF}">
    <text>1.2591.251	Repayments means repayments of principal received under a Loan Agreement, being scheduled instalments received, less interest owing during the immediately preceding interest period in terms of the Loan Agreement;</text>
  </threadedComment>
  <threadedComment ref="C72" dT="2020-07-10T12:20:03.96" personId="{0AEBCD2C-CD63-44ED-BE93-F38F45196697}" id="{91ED7932-9D02-40F6-B1EF-758BF56CD770}">
    <text>1.2201.211	Prepayments means principal repayments received under a Loan Agreement in excess of the minimum Instalments which a Borrower is obliged to pay;</text>
  </threadedComment>
  <threadedComment ref="C76" dT="2020-07-10T12:32:40.90" personId="{0AEBCD2C-CD63-44ED-BE93-F38F45196697}" id="{E5A0A77D-A66C-4C0A-A0DD-3EEA94E3EF8D}">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7" dT="2020-07-10T12:14:24.90" personId="{0AEBCD2C-CD63-44ED-BE93-F38F45196697}" id="{FB887DB7-5894-4266-BCA2-43C827CB3C37}">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6" dT="2020-07-03T14:38:14.35" personId="{0AEBCD2C-CD63-44ED-BE93-F38F45196697}" id="{F8F32C19-0297-4D9A-B48A-3C8EAEC2CD41}">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7" dT="2020-07-03T14:39:03.59" personId="{0AEBCD2C-CD63-44ED-BE93-F38F45196697}" id="{A043845F-13BF-49F7-AE78-3878C836E463}">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21" dT="2020-07-03T14:39:59.73" personId="{0AEBCD2C-CD63-44ED-BE93-F38F45196697}" id="{CC81A2F6-82BE-472D-B1A4-2AF5185CADDF}">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22" dT="2020-07-03T14:40:20.29" personId="{0AEBCD2C-CD63-44ED-BE93-F38F45196697}" id="{4431D3AC-B85C-4A22-981D-9ED3D599847F}">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8" dT="2020-07-06T07:36:37.57" personId="{0AEBCD2C-CD63-44ED-BE93-F38F45196697}" id="{BE466194-CC0A-471E-BD01-A93C7631F58D}">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7" dT="2020-07-06T07:42:12.02" personId="{0AEBCD2C-CD63-44ED-BE93-F38F45196697}" id="{15DA4B46-80CD-4F71-8B47-E54BAC987528}">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46" dT="2020-07-06T07:42:12.02" personId="{0AEBCD2C-CD63-44ED-BE93-F38F45196697}" id="{CA1EFA49-14E7-4E11-A3C0-40EE8909ADAA}">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47" dT="2020-07-06T07:42:23.74" personId="{0AEBCD2C-CD63-44ED-BE93-F38F45196697}" id="{60B04D08-161F-4706-AEA3-ADA8004AF113}">
    <text>1.701.69	Class C Principal Lock-Out shall occur on any Interest Payment Date on which, if prior to the allocation of the Redemption Amount in accordance with the Priority of Payments, there are Class B Notes outstanding;</text>
  </threadedComment>
  <threadedComment ref="C151" dT="2020-07-01T09:26:37.19" personId="{0AEBCD2C-CD63-44ED-BE93-F38F45196697}" id="{452076DF-2671-434B-894E-940B3B5ABEB2}">
    <text>1.1	first, to pay or provide for the Issuer’s liability or potential liability for Tax;</text>
  </threadedComment>
  <threadedComment ref="C152" dT="2020-07-01T09:26:57.34" personId="{0AEBCD2C-CD63-44ED-BE93-F38F45196697}" id="{5A52243A-1885-45A2-A1C6-80119C36A943}">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55" dT="2020-07-01T09:27:14.39" personId="{0AEBCD2C-CD63-44ED-BE93-F38F45196697}" id="{598701B3-C944-484F-BFD9-D1B44B6B31D2}">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58" dT="2020-07-01T09:27:31.91" personId="{0AEBCD2C-CD63-44ED-BE93-F38F45196697}" id="{7C6B7F09-C0F2-462D-97A7-012C5257D214}">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62" dT="2020-07-01T09:28:08.22" personId="{0AEBCD2C-CD63-44ED-BE93-F38F45196697}" id="{3A34F79C-C1B6-4269-94C8-A4B6B2F54517}">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63" dT="2020-07-01T09:28:21.98" personId="{0AEBCD2C-CD63-44ED-BE93-F38F45196697}" id="{DBC33822-6E29-417E-8F4C-8B8C80A95848}">
    <text>1.6	sixth, to pay all amounts due and payable under the Liquidity Facility other than in respect of principal;</text>
  </threadedComment>
  <threadedComment ref="C164" dT="2020-07-01T09:28:38.95" personId="{0AEBCD2C-CD63-44ED-BE93-F38F45196697}" id="{7990C812-9EC1-453C-A2BB-F83946978D57}">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66" dT="2020-07-01T09:28:53.80" personId="{0AEBCD2C-CD63-44ED-BE93-F38F45196697}" id="{57C6C293-5570-45A7-B944-4DADE5E7034B}">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67" dT="2020-07-01T09:29:09.23" personId="{0AEBCD2C-CD63-44ED-BE93-F38F45196697}" id="{33BF97E5-3B8E-45CE-9943-EE6B91F48BCB}">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68" dT="2020-07-01T09:29:09.23" personId="{0AEBCD2C-CD63-44ED-BE93-F38F45196697}" id="{1F0677AF-EAE5-48E4-9314-C53F7B3F0EEA}">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69" dT="2020-07-01T09:29:24.56" personId="{0AEBCD2C-CD63-44ED-BE93-F38F45196697}" id="{DAF22A5E-A135-4C19-B539-2591991155B6}">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70" dT="2020-07-01T09:29:39.12" personId="{0AEBCD2C-CD63-44ED-BE93-F38F45196697}" id="{5FF26DAD-2528-4EAC-A97B-0B7CEA005726}">
    <text>1.11	eleventh, to repay all principal amounts outstanding under the Liquidity Facility as at the immediately preceding Determination Date up to an amount equal to the Potential Redemption Amount;</text>
  </threadedComment>
  <threadedComment ref="C171" dT="2020-07-01T09:30:54.67" personId="{0AEBCD2C-CD63-44ED-BE93-F38F45196697}" id="{45BD31DE-1A00-4898-B123-57D9083DF24B}">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72" dT="2020-07-01T09:32:55.52" personId="{0AEBCD2C-CD63-44ED-BE93-F38F45196697}" id="{77C0A75B-05FB-4530-B1AD-208D8AD0DDDA}">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73" dT="2020-07-01T10:02:56.38" personId="{0AEBCD2C-CD63-44ED-BE93-F38F45196697}" id="{D9CE0C69-CBB4-4FA7-8256-3FA2DA624591}">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91D1-0E00-4B0B-A7A6-8C1A43A03275}">
  <dimension ref="A1:XCY239"/>
  <sheetViews>
    <sheetView showGridLines="0" tabSelected="1" zoomScale="85" zoomScaleNormal="85" zoomScaleSheetLayoutView="50" workbookViewId="0">
      <selection activeCell="C3" sqref="C3:M4"/>
    </sheetView>
  </sheetViews>
  <sheetFormatPr defaultColWidth="9.33203125" defaultRowHeight="14.4"/>
  <cols>
    <col min="1" max="1" width="9.33203125" style="1"/>
    <col min="2" max="2" width="3.44140625" style="1" customWidth="1"/>
    <col min="3" max="3" width="39.33203125" style="1" customWidth="1"/>
    <col min="4" max="4" width="11.6640625" style="1" bestFit="1" customWidth="1"/>
    <col min="5" max="5" width="11.44140625" style="1" customWidth="1"/>
    <col min="6" max="6" width="9.33203125" style="1" customWidth="1"/>
    <col min="7" max="7" width="16.33203125" style="1" bestFit="1" customWidth="1"/>
    <col min="8" max="8" width="17.33203125" style="1" bestFit="1" customWidth="1"/>
    <col min="9" max="9" width="12.44140625" style="1" bestFit="1" customWidth="1"/>
    <col min="10" max="13" width="17.77734375" style="1" customWidth="1"/>
    <col min="14" max="14" width="2.5546875" style="1" customWidth="1"/>
    <col min="15" max="15" width="2.33203125" style="1" customWidth="1"/>
    <col min="16" max="16326" width="9.33203125" style="1"/>
    <col min="16327" max="16327" width="11.6640625" style="1" bestFit="1" customWidth="1"/>
    <col min="16328" max="16384" width="11.6640625" style="1" customWidth="1"/>
  </cols>
  <sheetData>
    <row r="1" spans="1:15 16327:16327" ht="15" thickBot="1">
      <c r="A1" s="1">
        <v>1</v>
      </c>
      <c r="B1" s="2"/>
      <c r="C1" s="3"/>
      <c r="D1" s="3"/>
      <c r="E1" s="3"/>
      <c r="F1" s="3"/>
      <c r="G1" s="3"/>
      <c r="H1" s="3"/>
      <c r="I1" s="3"/>
      <c r="J1" s="3"/>
      <c r="K1" s="3"/>
      <c r="L1" s="3"/>
      <c r="M1" s="3"/>
      <c r="N1" s="4"/>
      <c r="O1" s="5"/>
      <c r="XCY1"/>
    </row>
    <row r="2" spans="1:15 16327:16327" ht="15" thickBot="1">
      <c r="B2" s="6"/>
      <c r="C2" s="7"/>
      <c r="D2" s="7"/>
      <c r="E2" s="7"/>
      <c r="F2" s="7"/>
      <c r="G2" s="7"/>
      <c r="H2" s="7"/>
      <c r="I2" s="7"/>
      <c r="J2" s="7"/>
      <c r="K2" s="7"/>
      <c r="L2" s="7"/>
      <c r="M2" s="4"/>
      <c r="N2" s="8"/>
      <c r="O2" s="5"/>
      <c r="XCY2" s="9"/>
    </row>
    <row r="3" spans="1:15 16327:16327" ht="20.25" customHeight="1">
      <c r="B3" s="10"/>
      <c r="C3" s="396" t="s">
        <v>0</v>
      </c>
      <c r="D3" s="397"/>
      <c r="E3" s="397"/>
      <c r="F3" s="397"/>
      <c r="G3" s="397"/>
      <c r="H3" s="397"/>
      <c r="I3" s="397"/>
      <c r="J3" s="397"/>
      <c r="K3" s="397"/>
      <c r="L3" s="397"/>
      <c r="M3" s="398"/>
      <c r="N3" s="8"/>
      <c r="O3" s="5"/>
    </row>
    <row r="4" spans="1:15 16327:16327" ht="20.25" customHeight="1" thickBot="1">
      <c r="B4" s="10"/>
      <c r="C4" s="399"/>
      <c r="D4" s="400"/>
      <c r="E4" s="400"/>
      <c r="F4" s="400"/>
      <c r="G4" s="400"/>
      <c r="H4" s="400"/>
      <c r="I4" s="400"/>
      <c r="J4" s="400"/>
      <c r="K4" s="400"/>
      <c r="L4" s="400"/>
      <c r="M4" s="401"/>
      <c r="N4" s="8"/>
      <c r="O4" s="5"/>
      <c r="XCY4" s="11"/>
    </row>
    <row r="5" spans="1:15 16327:16327" ht="15" thickBot="1">
      <c r="B5" s="10"/>
      <c r="C5" s="5"/>
      <c r="D5" s="5"/>
      <c r="E5" s="5"/>
      <c r="F5" s="5"/>
      <c r="G5" s="5"/>
      <c r="H5" s="5"/>
      <c r="I5" s="5"/>
      <c r="J5" s="5"/>
      <c r="K5" s="5"/>
      <c r="L5" s="5"/>
      <c r="M5" s="8"/>
      <c r="N5" s="8"/>
      <c r="O5" s="5"/>
    </row>
    <row r="6" spans="1:15 16327:16327" ht="15" thickBot="1">
      <c r="B6" s="10"/>
      <c r="C6" s="402" t="s">
        <v>1</v>
      </c>
      <c r="D6" s="403"/>
      <c r="E6" s="403"/>
      <c r="F6" s="403"/>
      <c r="G6" s="403"/>
      <c r="H6" s="403"/>
      <c r="I6" s="403"/>
      <c r="J6" s="403"/>
      <c r="K6" s="403"/>
      <c r="L6" s="403"/>
      <c r="M6" s="404"/>
      <c r="N6" s="8"/>
      <c r="O6" s="5"/>
    </row>
    <row r="7" spans="1:15 16327:16327" ht="15" thickBot="1">
      <c r="B7" s="10"/>
      <c r="C7" s="5"/>
      <c r="D7" s="5"/>
      <c r="E7" s="5"/>
      <c r="F7" s="5"/>
      <c r="G7" s="5"/>
      <c r="H7" s="5"/>
      <c r="I7" s="5"/>
      <c r="J7" s="5"/>
      <c r="K7" s="5"/>
      <c r="L7" s="5"/>
      <c r="M7" s="8"/>
      <c r="N7" s="8"/>
      <c r="O7" s="5"/>
    </row>
    <row r="8" spans="1:15 16327:16327">
      <c r="B8" s="10"/>
      <c r="C8" s="405" t="s">
        <v>2</v>
      </c>
      <c r="D8" s="406"/>
      <c r="E8" s="406"/>
      <c r="F8" s="406"/>
      <c r="G8" s="406"/>
      <c r="H8" s="406"/>
      <c r="I8" s="406"/>
      <c r="J8" s="407">
        <v>46246</v>
      </c>
      <c r="K8" s="407"/>
      <c r="L8" s="407"/>
      <c r="M8" s="408"/>
      <c r="N8" s="8"/>
      <c r="O8" s="5"/>
    </row>
    <row r="9" spans="1:15 16327:16327">
      <c r="B9" s="10"/>
      <c r="C9" s="258" t="s">
        <v>3</v>
      </c>
      <c r="D9" s="259"/>
      <c r="E9" s="259"/>
      <c r="F9" s="259"/>
      <c r="G9" s="259"/>
      <c r="H9" s="259"/>
      <c r="I9" s="259"/>
      <c r="J9" s="390">
        <v>46234</v>
      </c>
      <c r="K9" s="390"/>
      <c r="L9" s="390"/>
      <c r="M9" s="391"/>
      <c r="N9" s="8"/>
      <c r="O9" s="5"/>
    </row>
    <row r="10" spans="1:15 16327:16327">
      <c r="B10" s="10"/>
      <c r="C10" s="394" t="s">
        <v>4</v>
      </c>
      <c r="D10" s="395"/>
      <c r="E10" s="395"/>
      <c r="F10" s="395"/>
      <c r="G10" s="395"/>
      <c r="H10" s="14" t="s">
        <v>5</v>
      </c>
      <c r="I10" s="14"/>
      <c r="J10" s="390">
        <v>46142</v>
      </c>
      <c r="K10" s="390"/>
      <c r="L10" s="390"/>
      <c r="M10" s="391"/>
      <c r="N10" s="8"/>
      <c r="O10" s="5"/>
    </row>
    <row r="11" spans="1:15 16327:16327" ht="15" customHeight="1">
      <c r="B11" s="10"/>
      <c r="C11" s="394"/>
      <c r="D11" s="395"/>
      <c r="E11" s="395"/>
      <c r="F11" s="395"/>
      <c r="G11" s="395"/>
      <c r="H11" s="14" t="s">
        <v>6</v>
      </c>
      <c r="I11" s="14"/>
      <c r="J11" s="390">
        <v>46234</v>
      </c>
      <c r="K11" s="390"/>
      <c r="L11" s="390"/>
      <c r="M11" s="391"/>
      <c r="N11" s="8"/>
      <c r="O11" s="5"/>
    </row>
    <row r="12" spans="1:15 16327:16327">
      <c r="B12" s="10"/>
      <c r="C12" s="376" t="s">
        <v>7</v>
      </c>
      <c r="D12" s="377"/>
      <c r="E12" s="377"/>
      <c r="F12" s="377"/>
      <c r="G12" s="377"/>
      <c r="H12" s="377"/>
      <c r="I12" s="378"/>
      <c r="J12" s="392">
        <f>J11-J10</f>
        <v>92</v>
      </c>
      <c r="K12" s="392"/>
      <c r="L12" s="392"/>
      <c r="M12" s="393"/>
      <c r="N12" s="8"/>
      <c r="O12" s="5"/>
    </row>
    <row r="13" spans="1:15 16327:16327">
      <c r="B13" s="10"/>
      <c r="C13" s="394" t="s">
        <v>8</v>
      </c>
      <c r="D13" s="395"/>
      <c r="E13" s="395"/>
      <c r="F13" s="395"/>
      <c r="G13" s="395">
        <v>46251</v>
      </c>
      <c r="H13" s="15"/>
      <c r="I13" s="15"/>
      <c r="J13" s="390">
        <v>46251</v>
      </c>
      <c r="K13" s="390"/>
      <c r="L13" s="390"/>
      <c r="M13" s="391"/>
      <c r="N13" s="8"/>
      <c r="O13" s="5"/>
    </row>
    <row r="14" spans="1:15 16327:16327">
      <c r="B14" s="10"/>
      <c r="C14" s="384" t="s">
        <v>9</v>
      </c>
      <c r="D14" s="385"/>
      <c r="E14" s="385"/>
      <c r="F14" s="385"/>
      <c r="G14" s="386"/>
      <c r="H14" s="14" t="s">
        <v>10</v>
      </c>
      <c r="I14" s="14"/>
      <c r="J14" s="390">
        <v>46157</v>
      </c>
      <c r="K14" s="390"/>
      <c r="L14" s="390"/>
      <c r="M14" s="391"/>
      <c r="N14" s="8"/>
      <c r="O14" s="5"/>
    </row>
    <row r="15" spans="1:15 16327:16327" ht="15" customHeight="1">
      <c r="B15" s="10"/>
      <c r="C15" s="387"/>
      <c r="D15" s="388"/>
      <c r="E15" s="388"/>
      <c r="F15" s="388"/>
      <c r="G15" s="389"/>
      <c r="H15" s="13" t="s">
        <v>11</v>
      </c>
      <c r="I15" s="13"/>
      <c r="J15" s="390">
        <f>J13</f>
        <v>46251</v>
      </c>
      <c r="K15" s="390"/>
      <c r="L15" s="390"/>
      <c r="M15" s="391"/>
      <c r="N15" s="8"/>
      <c r="O15" s="5"/>
    </row>
    <row r="16" spans="1:15 16327:16327">
      <c r="B16" s="10"/>
      <c r="C16" s="376" t="s">
        <v>12</v>
      </c>
      <c r="D16" s="377"/>
      <c r="E16" s="377"/>
      <c r="F16" s="377"/>
      <c r="G16" s="377"/>
      <c r="H16" s="377"/>
      <c r="I16" s="378"/>
      <c r="J16" s="392">
        <f>J15-J14</f>
        <v>94</v>
      </c>
      <c r="K16" s="392"/>
      <c r="L16" s="392"/>
      <c r="M16" s="393"/>
      <c r="N16" s="8"/>
      <c r="O16" s="5"/>
    </row>
    <row r="17" spans="1:129">
      <c r="B17" s="10"/>
      <c r="C17" s="376" t="s">
        <v>13</v>
      </c>
      <c r="D17" s="377"/>
      <c r="E17" s="377"/>
      <c r="F17" s="377"/>
      <c r="G17" s="377"/>
      <c r="H17" s="377"/>
      <c r="I17" s="378"/>
      <c r="J17" s="219">
        <v>1858266699</v>
      </c>
      <c r="K17" s="219"/>
      <c r="L17" s="219"/>
      <c r="M17" s="220"/>
      <c r="N17" s="8"/>
      <c r="O17" s="5"/>
    </row>
    <row r="18" spans="1:129">
      <c r="B18" s="10"/>
      <c r="C18" s="376" t="s">
        <v>14</v>
      </c>
      <c r="D18" s="377"/>
      <c r="E18" s="377"/>
      <c r="F18" s="377"/>
      <c r="G18" s="377"/>
      <c r="H18" s="377"/>
      <c r="I18" s="378"/>
      <c r="J18" s="219">
        <f>SUM(J39:O39)</f>
        <v>1170098724.4949999</v>
      </c>
      <c r="K18" s="219"/>
      <c r="L18" s="219"/>
      <c r="M18" s="220"/>
      <c r="N18" s="8"/>
      <c r="O18" s="5"/>
    </row>
    <row r="19" spans="1:129">
      <c r="B19" s="10"/>
      <c r="C19" s="376" t="s">
        <v>15</v>
      </c>
      <c r="D19" s="377"/>
      <c r="E19" s="377"/>
      <c r="F19" s="377"/>
      <c r="G19" s="377"/>
      <c r="H19" s="377"/>
      <c r="I19" s="378"/>
      <c r="J19" s="219">
        <f>SUM(J44:O44)</f>
        <v>1151623225.491226</v>
      </c>
      <c r="K19" s="219"/>
      <c r="L19" s="219"/>
      <c r="M19" s="220"/>
      <c r="N19" s="8"/>
      <c r="O19" s="5"/>
    </row>
    <row r="20" spans="1:129" ht="15" thickBot="1">
      <c r="B20" s="10"/>
      <c r="C20" s="379" t="s">
        <v>16</v>
      </c>
      <c r="D20" s="380"/>
      <c r="E20" s="380"/>
      <c r="F20" s="380"/>
      <c r="G20" s="380"/>
      <c r="H20" s="380"/>
      <c r="I20" s="381"/>
      <c r="J20" s="382" t="s">
        <v>17</v>
      </c>
      <c r="K20" s="382"/>
      <c r="L20" s="382"/>
      <c r="M20" s="383"/>
      <c r="N20" s="8"/>
      <c r="O20" s="5"/>
    </row>
    <row r="21" spans="1:129" ht="15" thickBot="1">
      <c r="B21" s="10"/>
      <c r="C21" s="5"/>
      <c r="D21" s="5"/>
      <c r="E21" s="5"/>
      <c r="F21" s="5"/>
      <c r="G21" s="5"/>
      <c r="H21" s="5"/>
      <c r="I21" s="5"/>
      <c r="J21" s="5"/>
      <c r="K21" s="5"/>
      <c r="L21" s="5"/>
      <c r="M21" s="5"/>
      <c r="N21" s="8"/>
      <c r="O21" s="5"/>
    </row>
    <row r="22" spans="1:129">
      <c r="B22" s="10"/>
      <c r="C22" s="19" t="s">
        <v>18</v>
      </c>
      <c r="D22" s="20"/>
      <c r="E22" s="20"/>
      <c r="F22" s="20"/>
      <c r="G22" s="20"/>
      <c r="H22" s="20"/>
      <c r="I22" s="20"/>
      <c r="J22" s="20"/>
      <c r="K22" s="20"/>
      <c r="L22" s="20"/>
      <c r="M22" s="21"/>
      <c r="N22" s="8"/>
      <c r="O22" s="5"/>
    </row>
    <row r="23" spans="1:129">
      <c r="B23" s="10"/>
      <c r="C23" s="258" t="s">
        <v>19</v>
      </c>
      <c r="D23" s="259"/>
      <c r="E23" s="259"/>
      <c r="F23" s="259"/>
      <c r="G23" s="259"/>
      <c r="H23" s="259"/>
      <c r="I23" s="260"/>
      <c r="J23" s="23" t="s">
        <v>20</v>
      </c>
      <c r="K23" s="23" t="s">
        <v>21</v>
      </c>
      <c r="L23" s="23" t="s">
        <v>22</v>
      </c>
      <c r="M23" s="24" t="s">
        <v>23</v>
      </c>
      <c r="N23" s="8"/>
      <c r="O23" s="5"/>
    </row>
    <row r="24" spans="1:129">
      <c r="B24" s="10"/>
      <c r="C24" s="258" t="s">
        <v>24</v>
      </c>
      <c r="D24" s="259"/>
      <c r="E24" s="259"/>
      <c r="F24" s="259"/>
      <c r="G24" s="259"/>
      <c r="H24" s="259"/>
      <c r="I24" s="260"/>
      <c r="J24" s="25" t="s">
        <v>25</v>
      </c>
      <c r="K24" s="25" t="s">
        <v>26</v>
      </c>
      <c r="L24" s="25" t="s">
        <v>27</v>
      </c>
      <c r="M24" s="26" t="s">
        <v>28</v>
      </c>
      <c r="N24" s="8"/>
      <c r="O24" s="5"/>
    </row>
    <row r="25" spans="1:129">
      <c r="B25" s="10"/>
      <c r="C25" s="258" t="s">
        <v>29</v>
      </c>
      <c r="D25" s="259"/>
      <c r="E25" s="259"/>
      <c r="F25" s="259"/>
      <c r="G25" s="259" t="s">
        <v>30</v>
      </c>
      <c r="H25" s="259" t="s">
        <v>31</v>
      </c>
      <c r="I25" s="260" t="s">
        <v>32</v>
      </c>
      <c r="J25" s="25" t="s">
        <v>33</v>
      </c>
      <c r="K25" s="25" t="s">
        <v>34</v>
      </c>
      <c r="L25" s="25" t="s">
        <v>35</v>
      </c>
      <c r="M25" s="26" t="s">
        <v>36</v>
      </c>
      <c r="N25" s="8"/>
      <c r="O25" s="5"/>
    </row>
    <row r="26" spans="1:129">
      <c r="B26" s="10"/>
      <c r="C26" s="258" t="s">
        <v>37</v>
      </c>
      <c r="D26" s="259"/>
      <c r="E26" s="259"/>
      <c r="F26" s="259"/>
      <c r="G26" s="259" t="s">
        <v>38</v>
      </c>
      <c r="H26" s="259" t="s">
        <v>38</v>
      </c>
      <c r="I26" s="260" t="s">
        <v>38</v>
      </c>
      <c r="J26" s="25" t="s">
        <v>38</v>
      </c>
      <c r="K26" s="25" t="s">
        <v>38</v>
      </c>
      <c r="L26" s="25" t="s">
        <v>38</v>
      </c>
      <c r="M26" s="26" t="s">
        <v>38</v>
      </c>
      <c r="N26" s="8"/>
      <c r="O26" s="5"/>
    </row>
    <row r="27" spans="1:129">
      <c r="B27" s="10"/>
      <c r="C27" s="258" t="s">
        <v>39</v>
      </c>
      <c r="D27" s="259"/>
      <c r="E27" s="259"/>
      <c r="F27" s="259"/>
      <c r="G27" s="259" t="s">
        <v>40</v>
      </c>
      <c r="H27" s="259" t="s">
        <v>40</v>
      </c>
      <c r="I27" s="260" t="s">
        <v>40</v>
      </c>
      <c r="J27" s="27">
        <v>0.02</v>
      </c>
      <c r="K27" s="28">
        <v>2.47E-2</v>
      </c>
      <c r="L27" s="28">
        <v>3.5499999999999997E-2</v>
      </c>
      <c r="M27" s="29">
        <v>4.8000000000000001E-2</v>
      </c>
      <c r="N27" s="8"/>
      <c r="O27" s="5"/>
    </row>
    <row r="28" spans="1:129">
      <c r="B28" s="10"/>
      <c r="C28" s="258" t="s">
        <v>41</v>
      </c>
      <c r="D28" s="259"/>
      <c r="E28" s="259"/>
      <c r="F28" s="259"/>
      <c r="G28" s="259" t="s">
        <v>40</v>
      </c>
      <c r="H28" s="259" t="s">
        <v>40</v>
      </c>
      <c r="I28" s="260" t="s">
        <v>40</v>
      </c>
      <c r="J28" s="27">
        <f t="shared" ref="J28:K28" si="0">J27*1.3</f>
        <v>2.6000000000000002E-2</v>
      </c>
      <c r="K28" s="28">
        <f t="shared" si="0"/>
        <v>3.211E-2</v>
      </c>
      <c r="L28" s="28">
        <f>L27*1.3</f>
        <v>4.6149999999999997E-2</v>
      </c>
      <c r="M28" s="29">
        <f>M27*1.3</f>
        <v>6.2400000000000004E-2</v>
      </c>
      <c r="N28" s="8"/>
      <c r="O28" s="5"/>
    </row>
    <row r="29" spans="1:129">
      <c r="B29" s="10"/>
      <c r="C29" s="258" t="s">
        <v>42</v>
      </c>
      <c r="D29" s="259"/>
      <c r="E29" s="259"/>
      <c r="F29" s="259"/>
      <c r="G29" s="259" t="s">
        <v>40</v>
      </c>
      <c r="H29" s="259" t="s">
        <v>40</v>
      </c>
      <c r="I29" s="260" t="s">
        <v>40</v>
      </c>
      <c r="J29" s="27">
        <v>6.8000000000000005E-2</v>
      </c>
      <c r="K29" s="27">
        <v>6.8000000000000005E-2</v>
      </c>
      <c r="L29" s="27">
        <v>6.8000000000000005E-2</v>
      </c>
      <c r="M29" s="30">
        <v>6.8000000000000005E-2</v>
      </c>
      <c r="N29" s="8"/>
      <c r="O29" s="5"/>
    </row>
    <row r="30" spans="1:129">
      <c r="B30" s="10"/>
      <c r="C30" s="258" t="s">
        <v>43</v>
      </c>
      <c r="D30" s="259"/>
      <c r="E30" s="259"/>
      <c r="F30" s="259"/>
      <c r="G30" s="259" t="s">
        <v>40</v>
      </c>
      <c r="H30" s="259" t="s">
        <v>40</v>
      </c>
      <c r="I30" s="260" t="s">
        <v>40</v>
      </c>
      <c r="J30" s="31">
        <f>J29+J27</f>
        <v>8.8000000000000009E-2</v>
      </c>
      <c r="K30" s="32">
        <f>K29+K27</f>
        <v>9.2700000000000005E-2</v>
      </c>
      <c r="L30" s="32">
        <f>L29+L27</f>
        <v>0.10350000000000001</v>
      </c>
      <c r="M30" s="33">
        <f>M29+M27</f>
        <v>0.11600000000000001</v>
      </c>
      <c r="N30" s="8"/>
      <c r="O30" s="5"/>
    </row>
    <row r="31" spans="1:129">
      <c r="B31" s="10"/>
      <c r="C31" s="258" t="s">
        <v>44</v>
      </c>
      <c r="D31" s="259"/>
      <c r="E31" s="259"/>
      <c r="F31" s="259"/>
      <c r="G31" s="259" t="s">
        <v>40</v>
      </c>
      <c r="H31" s="259" t="s">
        <v>40</v>
      </c>
      <c r="I31" s="260" t="s">
        <v>40</v>
      </c>
      <c r="J31" s="34">
        <v>0</v>
      </c>
      <c r="K31" s="34">
        <v>0</v>
      </c>
      <c r="L31" s="34">
        <v>0</v>
      </c>
      <c r="M31" s="35">
        <v>0</v>
      </c>
      <c r="N31" s="8"/>
      <c r="O31" s="5"/>
    </row>
    <row r="32" spans="1:129" s="40" customFormat="1">
      <c r="A32" s="1"/>
      <c r="B32" s="10"/>
      <c r="C32" s="262" t="s">
        <v>45</v>
      </c>
      <c r="D32" s="263"/>
      <c r="E32" s="263"/>
      <c r="F32" s="263"/>
      <c r="G32" s="263"/>
      <c r="H32" s="263"/>
      <c r="I32" s="264"/>
      <c r="J32" s="37" t="s">
        <v>40</v>
      </c>
      <c r="K32" s="38" t="s">
        <v>40</v>
      </c>
      <c r="L32" s="38" t="s">
        <v>40</v>
      </c>
      <c r="M32" s="39" t="s">
        <v>40</v>
      </c>
      <c r="N32" s="8"/>
      <c r="O32" s="5"/>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row>
    <row r="33" spans="1:129" s="40" customFormat="1">
      <c r="A33" s="1"/>
      <c r="B33" s="10"/>
      <c r="C33" s="373" t="s">
        <v>46</v>
      </c>
      <c r="D33" s="374"/>
      <c r="E33" s="374"/>
      <c r="F33" s="374"/>
      <c r="G33" s="374"/>
      <c r="H33" s="374"/>
      <c r="I33" s="375"/>
      <c r="J33" s="37" t="s">
        <v>40</v>
      </c>
      <c r="K33" s="38" t="s">
        <v>40</v>
      </c>
      <c r="L33" s="38" t="s">
        <v>40</v>
      </c>
      <c r="M33" s="39" t="s">
        <v>40</v>
      </c>
      <c r="N33" s="8"/>
      <c r="O33" s="5"/>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row>
    <row r="34" spans="1:129">
      <c r="B34" s="10"/>
      <c r="C34" s="370" t="s">
        <v>47</v>
      </c>
      <c r="D34" s="371"/>
      <c r="E34" s="371"/>
      <c r="F34" s="371"/>
      <c r="G34" s="371"/>
      <c r="H34" s="371"/>
      <c r="I34" s="372"/>
      <c r="J34" s="37" t="s">
        <v>40</v>
      </c>
      <c r="K34" s="38" t="s">
        <v>40</v>
      </c>
      <c r="L34" s="38" t="s">
        <v>40</v>
      </c>
      <c r="M34" s="39" t="s">
        <v>40</v>
      </c>
      <c r="N34" s="8"/>
      <c r="O34" s="5"/>
    </row>
    <row r="35" spans="1:129">
      <c r="B35" s="10"/>
      <c r="C35" s="258" t="s">
        <v>48</v>
      </c>
      <c r="D35" s="259"/>
      <c r="E35" s="259"/>
      <c r="F35" s="259"/>
      <c r="G35" s="259">
        <v>0</v>
      </c>
      <c r="H35" s="259">
        <v>0</v>
      </c>
      <c r="I35" s="260">
        <v>0</v>
      </c>
      <c r="J35" s="34">
        <v>882000000</v>
      </c>
      <c r="K35" s="34">
        <v>221000000</v>
      </c>
      <c r="L35" s="34">
        <v>65000000</v>
      </c>
      <c r="M35" s="35">
        <v>54000000</v>
      </c>
      <c r="N35" s="8"/>
      <c r="O35" s="5"/>
    </row>
    <row r="36" spans="1:129" s="40" customFormat="1">
      <c r="A36" s="1"/>
      <c r="B36" s="10"/>
      <c r="C36" s="258" t="s">
        <v>49</v>
      </c>
      <c r="D36" s="259"/>
      <c r="E36" s="259"/>
      <c r="F36" s="259"/>
      <c r="G36" s="259" t="s">
        <v>40</v>
      </c>
      <c r="H36" s="259" t="s">
        <v>40</v>
      </c>
      <c r="I36" s="260" t="s">
        <v>40</v>
      </c>
      <c r="J36" s="37">
        <f>J35/SUM($G$35:$M$35)</f>
        <v>0.72176759410801961</v>
      </c>
      <c r="K36" s="38">
        <f>K35/SUM($G$35:$M$35)</f>
        <v>0.18085106382978725</v>
      </c>
      <c r="L36" s="38">
        <f>L35/SUM($G$35:$M$35)</f>
        <v>5.3191489361702128E-2</v>
      </c>
      <c r="M36" s="39">
        <f>M35/SUM($G$35:$M$35)</f>
        <v>4.4189852700491E-2</v>
      </c>
      <c r="N36" s="8"/>
      <c r="O36" s="5"/>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row>
    <row r="37" spans="1:129" s="40" customFormat="1">
      <c r="A37" s="1"/>
      <c r="B37" s="10"/>
      <c r="C37" s="258" t="s">
        <v>50</v>
      </c>
      <c r="D37" s="259"/>
      <c r="E37" s="259"/>
      <c r="F37" s="259"/>
      <c r="G37" s="259" t="s">
        <v>40</v>
      </c>
      <c r="H37" s="259" t="s">
        <v>40</v>
      </c>
      <c r="I37" s="260" t="s">
        <v>40</v>
      </c>
      <c r="J37" s="37">
        <v>0.66748356773019457</v>
      </c>
      <c r="K37" s="37">
        <v>0.16724928397774716</v>
      </c>
      <c r="L37" s="37">
        <v>4.9190965875807992E-2</v>
      </c>
      <c r="M37" s="42">
        <v>4.0866340881440484E-2</v>
      </c>
      <c r="N37" s="8"/>
      <c r="O37" s="5"/>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row>
    <row r="38" spans="1:129" s="40" customFormat="1">
      <c r="A38" s="1"/>
      <c r="B38" s="10"/>
      <c r="C38" s="370" t="s">
        <v>51</v>
      </c>
      <c r="D38" s="371"/>
      <c r="E38" s="371"/>
      <c r="F38" s="371"/>
      <c r="G38" s="371"/>
      <c r="H38" s="371"/>
      <c r="I38" s="372"/>
      <c r="J38" s="37">
        <f>1-J37</f>
        <v>0.33251643226980543</v>
      </c>
      <c r="K38" s="37">
        <f>1-SUM($J$37:$K37)</f>
        <v>0.16526714829205824</v>
      </c>
      <c r="L38" s="37">
        <f>1-SUM($J$37:$L37)</f>
        <v>0.11607618241625028</v>
      </c>
      <c r="M38" s="42">
        <f>1-SUM($J$37:$M37)</f>
        <v>7.5209841534809807E-2</v>
      </c>
      <c r="N38" s="8"/>
      <c r="O38" s="5"/>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row>
    <row r="39" spans="1:129">
      <c r="B39" s="10"/>
      <c r="C39" s="258" t="s">
        <v>52</v>
      </c>
      <c r="D39" s="259"/>
      <c r="E39" s="259"/>
      <c r="F39" s="259"/>
      <c r="G39" s="259">
        <v>0</v>
      </c>
      <c r="H39" s="259">
        <v>0</v>
      </c>
      <c r="I39" s="260">
        <v>0</v>
      </c>
      <c r="J39" s="34">
        <v>830098724.495</v>
      </c>
      <c r="K39" s="34">
        <v>221000000</v>
      </c>
      <c r="L39" s="34">
        <v>65000000</v>
      </c>
      <c r="M39" s="35">
        <v>54000000</v>
      </c>
      <c r="N39" s="8"/>
      <c r="O39" s="5"/>
    </row>
    <row r="40" spans="1:129">
      <c r="B40" s="10"/>
      <c r="C40" s="258" t="s">
        <v>53</v>
      </c>
      <c r="D40" s="259"/>
      <c r="E40" s="259"/>
      <c r="F40" s="259"/>
      <c r="G40" s="259">
        <v>0</v>
      </c>
      <c r="H40" s="259">
        <v>0</v>
      </c>
      <c r="I40" s="260">
        <v>0</v>
      </c>
      <c r="J40" s="34">
        <f>J39*J30*$J$16/365</f>
        <v>18812538.764445592</v>
      </c>
      <c r="K40" s="34">
        <f t="shared" ref="K40:M40" si="1">K39*K30*$J$16/365</f>
        <v>5276026.8493150687</v>
      </c>
      <c r="L40" s="34">
        <f t="shared" si="1"/>
        <v>1732561.6438356168</v>
      </c>
      <c r="M40" s="35">
        <f t="shared" si="1"/>
        <v>1613194.5205479453</v>
      </c>
      <c r="N40" s="8"/>
      <c r="O40" s="5"/>
    </row>
    <row r="41" spans="1:129">
      <c r="B41" s="10"/>
      <c r="C41" s="258" t="s">
        <v>54</v>
      </c>
      <c r="D41" s="259"/>
      <c r="E41" s="259"/>
      <c r="F41" s="259"/>
      <c r="G41" s="259">
        <v>0</v>
      </c>
      <c r="H41" s="259">
        <v>0</v>
      </c>
      <c r="I41" s="260">
        <v>0</v>
      </c>
      <c r="J41" s="34">
        <f>J40</f>
        <v>18812538.764445592</v>
      </c>
      <c r="K41" s="34">
        <f>K40</f>
        <v>5276026.8493150687</v>
      </c>
      <c r="L41" s="34">
        <f>L40</f>
        <v>1732561.6438356168</v>
      </c>
      <c r="M41" s="35">
        <f t="shared" ref="M41" si="2">M40</f>
        <v>1613194.5205479453</v>
      </c>
      <c r="N41" s="8"/>
      <c r="O41" s="5"/>
    </row>
    <row r="42" spans="1:129">
      <c r="B42" s="10"/>
      <c r="C42" s="258" t="s">
        <v>55</v>
      </c>
      <c r="D42" s="259"/>
      <c r="E42" s="259"/>
      <c r="F42" s="259"/>
      <c r="G42" s="259">
        <f t="shared" ref="G42:I42" si="3">G40-G41</f>
        <v>0</v>
      </c>
      <c r="H42" s="259">
        <f t="shared" si="3"/>
        <v>0</v>
      </c>
      <c r="I42" s="260">
        <f t="shared" si="3"/>
        <v>0</v>
      </c>
      <c r="J42" s="34">
        <f>J40-J41</f>
        <v>0</v>
      </c>
      <c r="K42" s="34">
        <f>K40-K41</f>
        <v>0</v>
      </c>
      <c r="L42" s="34">
        <f>L40-L41</f>
        <v>0</v>
      </c>
      <c r="M42" s="35">
        <f>M40-M41</f>
        <v>0</v>
      </c>
      <c r="N42" s="8"/>
      <c r="O42" s="5"/>
    </row>
    <row r="43" spans="1:129">
      <c r="B43" s="10"/>
      <c r="C43" s="258" t="s">
        <v>56</v>
      </c>
      <c r="D43" s="259"/>
      <c r="E43" s="259"/>
      <c r="F43" s="259"/>
      <c r="G43" s="259">
        <v>0</v>
      </c>
      <c r="H43" s="259">
        <v>0</v>
      </c>
      <c r="I43" s="260">
        <v>0</v>
      </c>
      <c r="J43" s="34">
        <f>$H$175</f>
        <v>18475499.003773987</v>
      </c>
      <c r="K43" s="34">
        <v>0</v>
      </c>
      <c r="L43" s="34">
        <v>0</v>
      </c>
      <c r="M43" s="35">
        <v>0</v>
      </c>
      <c r="N43" s="8"/>
      <c r="O43" s="5"/>
    </row>
    <row r="44" spans="1:129">
      <c r="B44" s="10"/>
      <c r="C44" s="258" t="s">
        <v>57</v>
      </c>
      <c r="D44" s="259"/>
      <c r="E44" s="259"/>
      <c r="F44" s="259"/>
      <c r="G44" s="259">
        <f>G39-G43</f>
        <v>0</v>
      </c>
      <c r="H44" s="259">
        <f t="shared" ref="H44:I44" si="4">H39-H43</f>
        <v>0</v>
      </c>
      <c r="I44" s="260">
        <f t="shared" si="4"/>
        <v>0</v>
      </c>
      <c r="J44" s="43">
        <f>J39-J43</f>
        <v>811623225.49122596</v>
      </c>
      <c r="K44" s="43">
        <f>K39-K43</f>
        <v>221000000</v>
      </c>
      <c r="L44" s="43">
        <f>L39-L43</f>
        <v>65000000</v>
      </c>
      <c r="M44" s="44">
        <f t="shared" ref="M44" si="5">M39-M43</f>
        <v>54000000</v>
      </c>
      <c r="N44" s="45"/>
      <c r="O44" s="46"/>
    </row>
    <row r="45" spans="1:129">
      <c r="B45" s="10"/>
      <c r="C45" s="370" t="s">
        <v>58</v>
      </c>
      <c r="D45" s="371"/>
      <c r="E45" s="371"/>
      <c r="F45" s="371"/>
      <c r="G45" s="371"/>
      <c r="H45" s="371"/>
      <c r="I45" s="372"/>
      <c r="J45" s="47">
        <f>J44/SUM($J$44:$M$44)</f>
        <v>0.70476455104926117</v>
      </c>
      <c r="K45" s="47">
        <f>K44/SUM($J$44:$M$44)</f>
        <v>0.19190304181798021</v>
      </c>
      <c r="L45" s="47">
        <f>L44/SUM($J$44:$M$44)</f>
        <v>5.644207112293536E-2</v>
      </c>
      <c r="M45" s="48">
        <f>M44/SUM($J$44:$M$44)</f>
        <v>4.6890336009823223E-2</v>
      </c>
      <c r="N45" s="8"/>
      <c r="O45" s="5"/>
    </row>
    <row r="46" spans="1:129">
      <c r="B46" s="10"/>
      <c r="C46" s="370" t="s">
        <v>59</v>
      </c>
      <c r="D46" s="371"/>
      <c r="E46" s="371"/>
      <c r="F46" s="371"/>
      <c r="G46" s="371" t="s">
        <v>40</v>
      </c>
      <c r="H46" s="371" t="s">
        <v>40</v>
      </c>
      <c r="I46" s="372" t="s">
        <v>40</v>
      </c>
      <c r="J46" s="49">
        <v>0.61422354444849403</v>
      </c>
      <c r="K46" s="49">
        <v>0.16724928397774716</v>
      </c>
      <c r="L46" s="49">
        <v>4.9190965875807992E-2</v>
      </c>
      <c r="M46" s="50">
        <v>4.0866340881440484E-2</v>
      </c>
      <c r="N46" s="8"/>
      <c r="O46" s="5"/>
    </row>
    <row r="47" spans="1:129">
      <c r="B47" s="10"/>
      <c r="C47" s="370" t="s">
        <v>60</v>
      </c>
      <c r="D47" s="371"/>
      <c r="E47" s="371"/>
      <c r="F47" s="371"/>
      <c r="G47" s="371" t="s">
        <v>40</v>
      </c>
      <c r="H47" s="371" t="s">
        <v>40</v>
      </c>
      <c r="I47" s="372" t="s">
        <v>40</v>
      </c>
      <c r="J47" s="47">
        <f>1-J46</f>
        <v>0.38577645555150597</v>
      </c>
      <c r="K47" s="47">
        <f>1-SUM(J46:K46)</f>
        <v>0.21852717157375878</v>
      </c>
      <c r="L47" s="47">
        <f>1-SUM(J46:L46)</f>
        <v>0.16933620569795083</v>
      </c>
      <c r="M47" s="48">
        <f>1-SUM(J46:M46)</f>
        <v>0.12846986481651035</v>
      </c>
      <c r="N47" s="8"/>
      <c r="O47" s="5"/>
    </row>
    <row r="48" spans="1:129">
      <c r="B48" s="10"/>
      <c r="C48" s="258" t="s">
        <v>61</v>
      </c>
      <c r="D48" s="259"/>
      <c r="E48" s="259"/>
      <c r="F48" s="259"/>
      <c r="G48" s="259">
        <v>52366</v>
      </c>
      <c r="H48" s="259">
        <v>52366</v>
      </c>
      <c r="I48" s="260">
        <v>52366</v>
      </c>
      <c r="J48" s="51">
        <v>52366</v>
      </c>
      <c r="K48" s="51">
        <v>52366</v>
      </c>
      <c r="L48" s="51">
        <v>52366</v>
      </c>
      <c r="M48" s="52">
        <v>52366</v>
      </c>
      <c r="N48" s="8"/>
      <c r="O48" s="5"/>
    </row>
    <row r="49" spans="2:15">
      <c r="B49" s="10"/>
      <c r="C49" s="262" t="s">
        <v>62</v>
      </c>
      <c r="D49" s="263"/>
      <c r="E49" s="263"/>
      <c r="F49" s="263"/>
      <c r="G49" s="263"/>
      <c r="H49" s="263"/>
      <c r="I49" s="264"/>
      <c r="J49" s="51">
        <v>46888</v>
      </c>
      <c r="K49" s="51">
        <v>46888</v>
      </c>
      <c r="L49" s="51">
        <v>46888</v>
      </c>
      <c r="M49" s="52">
        <v>46888</v>
      </c>
      <c r="N49" s="8"/>
      <c r="O49" s="5"/>
    </row>
    <row r="50" spans="2:15">
      <c r="B50" s="10"/>
      <c r="C50" s="262" t="s">
        <v>63</v>
      </c>
      <c r="D50" s="263"/>
      <c r="E50" s="263"/>
      <c r="F50" s="263"/>
      <c r="G50" s="263" t="s">
        <v>40</v>
      </c>
      <c r="H50" s="263" t="s">
        <v>40</v>
      </c>
      <c r="I50" s="264" t="s">
        <v>40</v>
      </c>
      <c r="J50" s="542">
        <v>7.0080000000000003E-2</v>
      </c>
      <c r="K50" s="542">
        <f>J50</f>
        <v>7.0080000000000003E-2</v>
      </c>
      <c r="L50" s="542">
        <f>K50</f>
        <v>7.0080000000000003E-2</v>
      </c>
      <c r="M50" s="543">
        <f>L50</f>
        <v>7.0080000000000003E-2</v>
      </c>
      <c r="N50" s="8"/>
      <c r="O50" s="5"/>
    </row>
    <row r="51" spans="2:15">
      <c r="B51" s="10"/>
      <c r="C51" s="262" t="s">
        <v>64</v>
      </c>
      <c r="D51" s="263"/>
      <c r="E51" s="263"/>
      <c r="F51" s="263"/>
      <c r="G51" s="263" t="s">
        <v>40</v>
      </c>
      <c r="H51" s="263" t="s">
        <v>40</v>
      </c>
      <c r="I51" s="264" t="s">
        <v>40</v>
      </c>
      <c r="J51" s="28">
        <f>J50+J27</f>
        <v>9.0080000000000007E-2</v>
      </c>
      <c r="K51" s="28">
        <f>K50+K27</f>
        <v>9.4780000000000003E-2</v>
      </c>
      <c r="L51" s="28">
        <f>L50+L27</f>
        <v>0.10558000000000001</v>
      </c>
      <c r="M51" s="29">
        <f t="shared" ref="M51" si="6">M50+M27</f>
        <v>0.11808</v>
      </c>
      <c r="N51" s="8"/>
      <c r="O51" s="5"/>
    </row>
    <row r="52" spans="2:15">
      <c r="B52" s="10"/>
      <c r="C52" s="258" t="s">
        <v>65</v>
      </c>
      <c r="D52" s="259"/>
      <c r="E52" s="259"/>
      <c r="F52" s="259"/>
      <c r="G52" s="259" t="s">
        <v>66</v>
      </c>
      <c r="H52" s="259" t="s">
        <v>66</v>
      </c>
      <c r="I52" s="260" t="s">
        <v>67</v>
      </c>
      <c r="J52" s="53" t="s">
        <v>67</v>
      </c>
      <c r="K52" s="53" t="s">
        <v>68</v>
      </c>
      <c r="L52" s="53" t="s">
        <v>69</v>
      </c>
      <c r="M52" s="54" t="s">
        <v>70</v>
      </c>
      <c r="N52" s="8"/>
      <c r="O52" s="5"/>
    </row>
    <row r="53" spans="2:15" ht="15" thickBot="1">
      <c r="B53" s="10"/>
      <c r="C53" s="258" t="s">
        <v>71</v>
      </c>
      <c r="D53" s="259"/>
      <c r="E53" s="259"/>
      <c r="F53" s="259"/>
      <c r="G53" s="259" t="s">
        <v>72</v>
      </c>
      <c r="H53" s="259" t="s">
        <v>72</v>
      </c>
      <c r="I53" s="260" t="s">
        <v>72</v>
      </c>
      <c r="J53" s="55" t="s">
        <v>67</v>
      </c>
      <c r="K53" s="55" t="s">
        <v>68</v>
      </c>
      <c r="L53" s="55" t="s">
        <v>69</v>
      </c>
      <c r="M53" s="56" t="s">
        <v>70</v>
      </c>
      <c r="N53" s="8"/>
      <c r="O53" s="5"/>
    </row>
    <row r="54" spans="2:15" ht="15" thickBot="1">
      <c r="B54" s="10"/>
      <c r="C54" s="5"/>
      <c r="D54" s="5"/>
      <c r="E54" s="5"/>
      <c r="F54" s="5"/>
      <c r="G54" s="57"/>
      <c r="H54" s="57"/>
      <c r="I54" s="5"/>
      <c r="J54" s="5"/>
      <c r="K54" s="5"/>
      <c r="L54" s="5"/>
      <c r="M54" s="5"/>
      <c r="N54" s="8"/>
      <c r="O54" s="5"/>
    </row>
    <row r="55" spans="2:15" ht="15" thickBot="1">
      <c r="B55" s="10"/>
      <c r="C55" s="223" t="s">
        <v>73</v>
      </c>
      <c r="D55" s="224"/>
      <c r="E55" s="224"/>
      <c r="F55" s="224"/>
      <c r="G55" s="224"/>
      <c r="H55" s="224"/>
      <c r="I55" s="224"/>
      <c r="J55" s="224"/>
      <c r="K55" s="224"/>
      <c r="L55" s="224"/>
      <c r="M55" s="225"/>
      <c r="N55" s="8"/>
      <c r="O55" s="5"/>
    </row>
    <row r="56" spans="2:15" ht="15" thickBot="1">
      <c r="B56" s="10"/>
      <c r="C56" s="361" t="s">
        <v>74</v>
      </c>
      <c r="D56" s="362"/>
      <c r="E56" s="362"/>
      <c r="F56" s="362"/>
      <c r="G56" s="362"/>
      <c r="H56" s="362"/>
      <c r="I56" s="362"/>
      <c r="J56" s="362"/>
      <c r="K56" s="362"/>
      <c r="L56" s="362"/>
      <c r="M56" s="363"/>
      <c r="N56" s="8"/>
      <c r="O56" s="5"/>
    </row>
    <row r="57" spans="2:15">
      <c r="B57" s="10"/>
      <c r="C57" s="58" t="s">
        <v>75</v>
      </c>
      <c r="D57" s="59"/>
      <c r="E57" s="59"/>
      <c r="F57" s="59"/>
      <c r="G57" s="59"/>
      <c r="H57" s="59"/>
      <c r="I57" s="59"/>
      <c r="J57" s="364">
        <v>110094252.9742616</v>
      </c>
      <c r="K57" s="364"/>
      <c r="L57" s="364"/>
      <c r="M57" s="365"/>
      <c r="N57" s="8"/>
      <c r="O57" s="5"/>
    </row>
    <row r="58" spans="2:15">
      <c r="B58" s="10"/>
      <c r="C58" s="60" t="s">
        <v>76</v>
      </c>
      <c r="D58" s="61"/>
      <c r="E58" s="61"/>
      <c r="F58" s="61"/>
      <c r="G58" s="61"/>
      <c r="H58" s="61"/>
      <c r="I58" s="61"/>
      <c r="J58" s="366">
        <v>83403048.570000008</v>
      </c>
      <c r="K58" s="366"/>
      <c r="L58" s="366"/>
      <c r="M58" s="367"/>
      <c r="N58" s="8"/>
      <c r="O58" s="5"/>
    </row>
    <row r="59" spans="2:15">
      <c r="B59" s="10"/>
      <c r="C59" s="62" t="s">
        <v>77</v>
      </c>
      <c r="D59" s="63"/>
      <c r="E59" s="63"/>
      <c r="F59" s="63"/>
      <c r="G59" s="63"/>
      <c r="H59" s="63"/>
      <c r="I59" s="63"/>
      <c r="J59" s="368">
        <f>SUM(K60:L62)</f>
        <v>0</v>
      </c>
      <c r="K59" s="368"/>
      <c r="L59" s="368"/>
      <c r="M59" s="369"/>
      <c r="N59" s="8"/>
      <c r="O59" s="5"/>
    </row>
    <row r="60" spans="2:15">
      <c r="B60" s="10"/>
      <c r="C60" s="64" t="s">
        <v>78</v>
      </c>
      <c r="D60" s="65"/>
      <c r="E60" s="65"/>
      <c r="F60" s="65"/>
      <c r="G60" s="65"/>
      <c r="H60" s="65"/>
      <c r="I60" s="65"/>
      <c r="J60" s="323">
        <f>J57-J58-J62</f>
        <v>-209795.59573841095</v>
      </c>
      <c r="K60" s="324"/>
      <c r="L60" s="324"/>
      <c r="M60" s="68"/>
      <c r="N60" s="8"/>
      <c r="O60" s="5"/>
    </row>
    <row r="61" spans="2:15">
      <c r="B61" s="10"/>
      <c r="C61" s="64" t="s">
        <v>79</v>
      </c>
      <c r="D61" s="65"/>
      <c r="E61" s="65"/>
      <c r="F61" s="65"/>
      <c r="G61" s="65"/>
      <c r="H61" s="65"/>
      <c r="I61" s="65"/>
      <c r="J61" s="323">
        <v>0</v>
      </c>
      <c r="K61" s="324"/>
      <c r="L61" s="324"/>
      <c r="M61" s="8"/>
      <c r="N61" s="8"/>
      <c r="O61" s="5"/>
    </row>
    <row r="62" spans="2:15" ht="15" thickBot="1">
      <c r="B62" s="10"/>
      <c r="C62" s="69" t="s">
        <v>80</v>
      </c>
      <c r="D62" s="70"/>
      <c r="E62" s="70"/>
      <c r="F62" s="70"/>
      <c r="G62" s="70"/>
      <c r="H62" s="70"/>
      <c r="I62" s="70"/>
      <c r="J62" s="325">
        <f>J204</f>
        <v>26901000</v>
      </c>
      <c r="K62" s="326"/>
      <c r="L62" s="326"/>
      <c r="M62" s="71"/>
      <c r="N62" s="8"/>
      <c r="O62" s="5"/>
    </row>
    <row r="63" spans="2:15" ht="15" thickBot="1">
      <c r="B63" s="10"/>
      <c r="C63" s="356" t="s">
        <v>81</v>
      </c>
      <c r="D63" s="357"/>
      <c r="E63" s="357"/>
      <c r="F63" s="357"/>
      <c r="G63" s="357"/>
      <c r="H63" s="357"/>
      <c r="I63" s="357"/>
      <c r="J63" s="357"/>
      <c r="K63" s="357"/>
      <c r="L63" s="357"/>
      <c r="M63" s="358"/>
      <c r="N63" s="8"/>
      <c r="O63" s="5"/>
    </row>
    <row r="64" spans="2:15">
      <c r="B64" s="10"/>
      <c r="C64" s="72" t="s">
        <v>82</v>
      </c>
      <c r="D64" s="65"/>
      <c r="E64" s="65"/>
      <c r="F64" s="65"/>
      <c r="G64" s="65"/>
      <c r="H64" s="65"/>
      <c r="I64" s="65"/>
      <c r="J64" s="332">
        <f>SUM(G65:L66)</f>
        <v>0</v>
      </c>
      <c r="K64" s="333"/>
      <c r="L64" s="333"/>
      <c r="M64" s="334"/>
      <c r="N64" s="8"/>
      <c r="O64" s="5"/>
    </row>
    <row r="65" spans="2:15">
      <c r="B65" s="10"/>
      <c r="C65" s="64" t="s">
        <v>83</v>
      </c>
      <c r="D65" s="65"/>
      <c r="E65" s="65"/>
      <c r="F65" s="65"/>
      <c r="G65" s="65"/>
      <c r="H65" s="65"/>
      <c r="I65" s="65"/>
      <c r="J65" s="359">
        <v>0</v>
      </c>
      <c r="K65" s="360"/>
      <c r="L65" s="360"/>
      <c r="M65" s="73"/>
      <c r="N65" s="8"/>
      <c r="O65" s="5"/>
    </row>
    <row r="66" spans="2:15">
      <c r="B66" s="10"/>
      <c r="C66" s="64" t="s">
        <v>84</v>
      </c>
      <c r="D66" s="65"/>
      <c r="E66" s="65"/>
      <c r="F66" s="65"/>
      <c r="G66" s="65"/>
      <c r="H66" s="65"/>
      <c r="I66" s="65"/>
      <c r="J66" s="343">
        <v>0</v>
      </c>
      <c r="K66" s="344"/>
      <c r="L66" s="344"/>
      <c r="M66" s="74"/>
      <c r="N66" s="8"/>
      <c r="O66" s="5"/>
    </row>
    <row r="67" spans="2:15">
      <c r="B67" s="10"/>
      <c r="C67" s="62" t="s">
        <v>85</v>
      </c>
      <c r="D67" s="63"/>
      <c r="E67" s="63"/>
      <c r="F67" s="63"/>
      <c r="G67" s="63"/>
      <c r="H67" s="63"/>
      <c r="I67" s="63"/>
      <c r="J67" s="348">
        <f>SUM(G68:L69)</f>
        <v>1364318.9</v>
      </c>
      <c r="K67" s="349"/>
      <c r="L67" s="349"/>
      <c r="M67" s="350"/>
      <c r="N67" s="8"/>
      <c r="O67" s="5"/>
    </row>
    <row r="68" spans="2:15">
      <c r="B68" s="10"/>
      <c r="C68" s="64" t="s">
        <v>86</v>
      </c>
      <c r="D68" s="65"/>
      <c r="E68" s="65"/>
      <c r="F68" s="65"/>
      <c r="G68" s="65"/>
      <c r="H68" s="65"/>
      <c r="I68" s="65"/>
      <c r="J68" s="323">
        <v>14281.84</v>
      </c>
      <c r="K68" s="324"/>
      <c r="L68" s="324"/>
      <c r="M68" s="73"/>
      <c r="N68" s="8"/>
      <c r="O68" s="5"/>
    </row>
    <row r="69" spans="2:15">
      <c r="B69" s="10"/>
      <c r="C69" s="75" t="s">
        <v>87</v>
      </c>
      <c r="D69" s="76"/>
      <c r="E69" s="76"/>
      <c r="F69" s="76"/>
      <c r="G69" s="76"/>
      <c r="H69" s="76"/>
      <c r="I69" s="76"/>
      <c r="J69" s="351">
        <v>1350037.0599999998</v>
      </c>
      <c r="K69" s="352"/>
      <c r="L69" s="352"/>
      <c r="M69" s="74"/>
      <c r="N69" s="8"/>
      <c r="O69" s="5"/>
    </row>
    <row r="70" spans="2:15">
      <c r="B70" s="10"/>
      <c r="C70" s="62" t="s">
        <v>88</v>
      </c>
      <c r="D70" s="63"/>
      <c r="E70" s="63"/>
      <c r="F70" s="63"/>
      <c r="G70" s="63"/>
      <c r="H70" s="63"/>
      <c r="I70" s="63"/>
      <c r="J70" s="353">
        <f>SUM(J71:L73,J76,J79,J82:L84)</f>
        <v>100635299.80476578</v>
      </c>
      <c r="K70" s="354"/>
      <c r="L70" s="354"/>
      <c r="M70" s="355"/>
      <c r="N70" s="8"/>
      <c r="O70" s="5"/>
    </row>
    <row r="71" spans="2:15">
      <c r="B71" s="10"/>
      <c r="C71" s="64" t="s">
        <v>89</v>
      </c>
      <c r="D71" s="65"/>
      <c r="E71" s="65"/>
      <c r="F71" s="65"/>
      <c r="G71" s="65"/>
      <c r="H71" s="65"/>
      <c r="I71" s="65"/>
      <c r="J71" s="323">
        <f>'Servicer Report'!J39</f>
        <v>14854834.04377399</v>
      </c>
      <c r="K71" s="324"/>
      <c r="L71" s="324"/>
      <c r="M71" s="79"/>
      <c r="N71" s="8"/>
      <c r="O71" s="5"/>
    </row>
    <row r="72" spans="2:15">
      <c r="B72" s="10"/>
      <c r="C72" s="64" t="s">
        <v>90</v>
      </c>
      <c r="D72" s="65"/>
      <c r="E72" s="65"/>
      <c r="F72" s="65"/>
      <c r="G72" s="65"/>
      <c r="H72" s="65"/>
      <c r="I72" s="65"/>
      <c r="J72" s="323">
        <f>'Servicer Report'!J42</f>
        <v>8283506.5099999998</v>
      </c>
      <c r="K72" s="324"/>
      <c r="L72" s="324"/>
      <c r="M72" s="79"/>
      <c r="N72" s="8"/>
      <c r="O72" s="5"/>
    </row>
    <row r="73" spans="2:15">
      <c r="B73" s="10"/>
      <c r="C73" s="64" t="s">
        <v>91</v>
      </c>
      <c r="D73" s="65"/>
      <c r="E73" s="65"/>
      <c r="F73" s="65"/>
      <c r="G73" s="65"/>
      <c r="H73" s="65"/>
      <c r="I73" s="65"/>
      <c r="J73" s="323">
        <f>SUM(J74:K75)</f>
        <v>0</v>
      </c>
      <c r="K73" s="324"/>
      <c r="L73" s="324"/>
      <c r="M73" s="79"/>
      <c r="N73" s="8"/>
      <c r="O73" s="5"/>
    </row>
    <row r="74" spans="2:15">
      <c r="B74" s="10"/>
      <c r="C74" s="80" t="s">
        <v>92</v>
      </c>
      <c r="D74" s="65"/>
      <c r="E74" s="65"/>
      <c r="F74" s="65"/>
      <c r="G74" s="65"/>
      <c r="H74" s="65"/>
      <c r="I74" s="65"/>
      <c r="J74" s="323">
        <v>0</v>
      </c>
      <c r="K74" s="324"/>
      <c r="L74" s="81"/>
      <c r="M74" s="79"/>
      <c r="N74" s="8"/>
      <c r="O74" s="5"/>
    </row>
    <row r="75" spans="2:15">
      <c r="B75" s="10"/>
      <c r="C75" s="80" t="s">
        <v>93</v>
      </c>
      <c r="D75" s="65"/>
      <c r="E75" s="65"/>
      <c r="F75" s="65"/>
      <c r="G75" s="65"/>
      <c r="H75" s="65"/>
      <c r="I75" s="65"/>
      <c r="J75" s="323">
        <v>0</v>
      </c>
      <c r="K75" s="324"/>
      <c r="L75" s="81"/>
      <c r="M75" s="79"/>
      <c r="N75" s="8"/>
      <c r="O75" s="5"/>
    </row>
    <row r="76" spans="2:15">
      <c r="B76" s="10"/>
      <c r="C76" s="64" t="s">
        <v>94</v>
      </c>
      <c r="D76" s="65"/>
      <c r="E76" s="65"/>
      <c r="F76" s="65"/>
      <c r="G76" s="65"/>
      <c r="H76" s="65"/>
      <c r="I76" s="65"/>
      <c r="J76" s="323">
        <f>SUM(J77:K78)</f>
        <v>0</v>
      </c>
      <c r="K76" s="324"/>
      <c r="L76" s="324"/>
      <c r="M76" s="79"/>
      <c r="N76" s="8"/>
      <c r="O76" s="5"/>
    </row>
    <row r="77" spans="2:15">
      <c r="B77" s="10"/>
      <c r="C77" s="80" t="s">
        <v>92</v>
      </c>
      <c r="D77" s="65"/>
      <c r="E77" s="65"/>
      <c r="F77" s="65"/>
      <c r="G77" s="65"/>
      <c r="H77" s="65"/>
      <c r="I77" s="65"/>
      <c r="J77" s="323">
        <v>0</v>
      </c>
      <c r="K77" s="324"/>
      <c r="L77" s="81"/>
      <c r="M77" s="79"/>
      <c r="N77" s="8"/>
      <c r="O77" s="5"/>
    </row>
    <row r="78" spans="2:15">
      <c r="B78" s="10"/>
      <c r="C78" s="80" t="s">
        <v>93</v>
      </c>
      <c r="D78" s="65"/>
      <c r="E78" s="65"/>
      <c r="F78" s="65"/>
      <c r="G78" s="65"/>
      <c r="H78" s="65"/>
      <c r="I78" s="65"/>
      <c r="J78" s="323">
        <v>0</v>
      </c>
      <c r="K78" s="324"/>
      <c r="L78" s="81"/>
      <c r="M78" s="79"/>
      <c r="N78" s="8"/>
      <c r="O78" s="5"/>
    </row>
    <row r="79" spans="2:15">
      <c r="B79" s="10"/>
      <c r="C79" s="64" t="s">
        <v>95</v>
      </c>
      <c r="D79" s="65"/>
      <c r="E79" s="65"/>
      <c r="F79" s="65"/>
      <c r="G79" s="65"/>
      <c r="H79" s="65"/>
      <c r="I79" s="65"/>
      <c r="J79" s="323">
        <f>SUM(J80:K81)</f>
        <v>34699861.039999999</v>
      </c>
      <c r="K79" s="324"/>
      <c r="L79" s="324"/>
      <c r="M79" s="79"/>
      <c r="N79" s="8"/>
      <c r="O79" s="5"/>
    </row>
    <row r="80" spans="2:15">
      <c r="B80" s="10"/>
      <c r="C80" s="80" t="s">
        <v>96</v>
      </c>
      <c r="D80" s="65"/>
      <c r="E80" s="65"/>
      <c r="F80" s="65"/>
      <c r="G80" s="65"/>
      <c r="H80" s="65"/>
      <c r="I80" s="65"/>
      <c r="J80" s="323">
        <f>'Servicer Report'!J46</f>
        <v>0</v>
      </c>
      <c r="K80" s="324"/>
      <c r="L80" s="81"/>
      <c r="M80" s="79"/>
      <c r="N80" s="8"/>
      <c r="O80" s="5"/>
    </row>
    <row r="81" spans="2:15">
      <c r="B81" s="10"/>
      <c r="C81" s="80" t="s">
        <v>97</v>
      </c>
      <c r="D81" s="65"/>
      <c r="E81" s="65"/>
      <c r="F81" s="65"/>
      <c r="G81" s="65"/>
      <c r="H81" s="65"/>
      <c r="I81" s="65"/>
      <c r="J81" s="323">
        <f>'Servicer Report'!J47</f>
        <v>34699861.039999999</v>
      </c>
      <c r="K81" s="324"/>
      <c r="L81" s="81"/>
      <c r="M81" s="79"/>
      <c r="N81" s="8"/>
      <c r="O81" s="5"/>
    </row>
    <row r="82" spans="2:15">
      <c r="B82" s="10"/>
      <c r="C82" s="64" t="s">
        <v>98</v>
      </c>
      <c r="D82" s="65"/>
      <c r="E82" s="65"/>
      <c r="F82" s="65"/>
      <c r="G82" s="65"/>
      <c r="H82" s="65"/>
      <c r="I82" s="65"/>
      <c r="J82" s="323">
        <f>'Servicer Report'!J40</f>
        <v>42551582.300726041</v>
      </c>
      <c r="K82" s="324"/>
      <c r="L82" s="324"/>
      <c r="M82" s="79"/>
      <c r="N82" s="8"/>
      <c r="O82" s="5"/>
    </row>
    <row r="83" spans="2:15">
      <c r="B83" s="10"/>
      <c r="C83" s="64" t="s">
        <v>99</v>
      </c>
      <c r="D83" s="65"/>
      <c r="E83" s="65"/>
      <c r="F83" s="65"/>
      <c r="G83" s="65"/>
      <c r="H83" s="65"/>
      <c r="I83" s="65"/>
      <c r="J83" s="323">
        <f>'Servicer Report'!J41</f>
        <v>131432.32000000033</v>
      </c>
      <c r="K83" s="324"/>
      <c r="L83" s="324"/>
      <c r="M83" s="79"/>
      <c r="N83" s="8"/>
      <c r="O83" s="5"/>
    </row>
    <row r="84" spans="2:15">
      <c r="B84" s="10"/>
      <c r="C84" s="75" t="s">
        <v>100</v>
      </c>
      <c r="D84" s="76"/>
      <c r="E84" s="76"/>
      <c r="F84" s="76"/>
      <c r="G84" s="76"/>
      <c r="H84" s="76"/>
      <c r="I84" s="76"/>
      <c r="J84" s="343">
        <v>114083.5902657425</v>
      </c>
      <c r="K84" s="344"/>
      <c r="L84" s="344"/>
      <c r="M84" s="82"/>
      <c r="N84" s="8"/>
      <c r="O84" s="5"/>
    </row>
    <row r="85" spans="2:15" ht="15" thickBot="1">
      <c r="B85" s="10"/>
      <c r="C85" s="36" t="s">
        <v>101</v>
      </c>
      <c r="D85" s="63"/>
      <c r="E85" s="63"/>
      <c r="F85" s="63"/>
      <c r="G85" s="63"/>
      <c r="H85" s="63"/>
      <c r="I85" s="63"/>
      <c r="J85" s="345">
        <v>0</v>
      </c>
      <c r="K85" s="346"/>
      <c r="L85" s="346"/>
      <c r="M85" s="347"/>
      <c r="N85" s="8"/>
      <c r="O85" s="5"/>
    </row>
    <row r="86" spans="2:15" ht="15" thickBot="1">
      <c r="B86" s="10"/>
      <c r="C86" s="337" t="s">
        <v>102</v>
      </c>
      <c r="D86" s="338"/>
      <c r="E86" s="338"/>
      <c r="F86" s="338"/>
      <c r="G86" s="338"/>
      <c r="H86" s="338"/>
      <c r="I86" s="338"/>
      <c r="J86" s="338"/>
      <c r="K86" s="338"/>
      <c r="L86" s="338"/>
      <c r="M86" s="339"/>
      <c r="N86" s="8"/>
      <c r="O86" s="5"/>
    </row>
    <row r="87" spans="2:15">
      <c r="B87" s="10"/>
      <c r="C87" s="83" t="s">
        <v>103</v>
      </c>
      <c r="D87" s="65"/>
      <c r="E87" s="65"/>
      <c r="F87" s="65"/>
      <c r="G87" s="65"/>
      <c r="H87" s="65"/>
      <c r="I87" s="65"/>
      <c r="J87" s="332">
        <f>SUM(J88:L90,J94:L97)</f>
        <v>39362702.590000004</v>
      </c>
      <c r="K87" s="333"/>
      <c r="L87" s="333"/>
      <c r="M87" s="334"/>
      <c r="N87" s="8"/>
      <c r="O87" s="5"/>
    </row>
    <row r="88" spans="2:15">
      <c r="B88" s="10"/>
      <c r="C88" s="64" t="s">
        <v>104</v>
      </c>
      <c r="D88" s="65"/>
      <c r="E88" s="65"/>
      <c r="F88" s="65"/>
      <c r="G88" s="65"/>
      <c r="H88" s="65"/>
      <c r="I88" s="65"/>
      <c r="J88" s="323">
        <v>0</v>
      </c>
      <c r="K88" s="324"/>
      <c r="L88" s="324"/>
      <c r="M88" s="84"/>
      <c r="N88" s="8"/>
      <c r="O88" s="5"/>
    </row>
    <row r="89" spans="2:15">
      <c r="B89" s="10"/>
      <c r="C89" s="64" t="s">
        <v>105</v>
      </c>
      <c r="D89" s="65"/>
      <c r="E89" s="65"/>
      <c r="F89" s="65"/>
      <c r="G89" s="65"/>
      <c r="H89" s="65"/>
      <c r="I89" s="65"/>
      <c r="J89" s="335">
        <v>0</v>
      </c>
      <c r="K89" s="336"/>
      <c r="L89" s="336"/>
      <c r="M89" s="84"/>
      <c r="N89" s="8"/>
      <c r="O89" s="5"/>
    </row>
    <row r="90" spans="2:15">
      <c r="B90" s="10"/>
      <c r="C90" s="64" t="s">
        <v>106</v>
      </c>
      <c r="D90" s="65"/>
      <c r="E90" s="65"/>
      <c r="F90" s="65"/>
      <c r="G90" s="65"/>
      <c r="H90" s="65"/>
      <c r="I90" s="65"/>
      <c r="J90" s="323">
        <f>SUM(J91:K93)</f>
        <v>33826005.560000002</v>
      </c>
      <c r="K90" s="324"/>
      <c r="L90" s="324"/>
      <c r="M90" s="84"/>
      <c r="N90" s="8"/>
      <c r="O90" s="5"/>
    </row>
    <row r="91" spans="2:15">
      <c r="B91" s="10"/>
      <c r="C91" s="80" t="s">
        <v>107</v>
      </c>
      <c r="D91" s="65"/>
      <c r="E91" s="65"/>
      <c r="F91" s="65"/>
      <c r="G91" s="65"/>
      <c r="H91" s="65"/>
      <c r="I91" s="65"/>
      <c r="J91" s="323">
        <f>'Servicer Report'!J27</f>
        <v>0</v>
      </c>
      <c r="K91" s="324"/>
      <c r="L91" s="85"/>
      <c r="M91" s="84"/>
      <c r="N91" s="8"/>
      <c r="O91" s="5"/>
    </row>
    <row r="92" spans="2:15">
      <c r="B92" s="10"/>
      <c r="C92" s="80" t="s">
        <v>108</v>
      </c>
      <c r="D92" s="65"/>
      <c r="E92" s="65"/>
      <c r="F92" s="65"/>
      <c r="G92" s="65"/>
      <c r="H92" s="65"/>
      <c r="I92" s="65"/>
      <c r="J92" s="323">
        <f>'Servicer Report'!J28</f>
        <v>33826005.560000002</v>
      </c>
      <c r="K92" s="324"/>
      <c r="L92" s="85"/>
      <c r="M92" s="84"/>
      <c r="N92" s="8"/>
      <c r="O92" s="5"/>
    </row>
    <row r="93" spans="2:15">
      <c r="B93" s="10"/>
      <c r="C93" s="80" t="s">
        <v>109</v>
      </c>
      <c r="D93" s="65"/>
      <c r="E93" s="65"/>
      <c r="F93" s="65"/>
      <c r="G93" s="65"/>
      <c r="H93" s="65"/>
      <c r="I93" s="65"/>
      <c r="J93" s="323">
        <v>0</v>
      </c>
      <c r="K93" s="324"/>
      <c r="L93" s="86"/>
      <c r="M93" s="84"/>
      <c r="N93" s="8"/>
      <c r="O93" s="5"/>
    </row>
    <row r="94" spans="2:15">
      <c r="B94" s="10"/>
      <c r="C94" s="64" t="s">
        <v>110</v>
      </c>
      <c r="D94" s="65"/>
      <c r="E94" s="65"/>
      <c r="F94" s="65"/>
      <c r="G94" s="65"/>
      <c r="H94" s="65"/>
      <c r="I94" s="65"/>
      <c r="J94" s="323">
        <f>'Servicer Report'!J30</f>
        <v>5536697.0300000003</v>
      </c>
      <c r="K94" s="324"/>
      <c r="L94" s="324"/>
      <c r="M94" s="84"/>
      <c r="N94" s="8"/>
      <c r="O94" s="5"/>
    </row>
    <row r="95" spans="2:15">
      <c r="B95" s="10"/>
      <c r="C95" s="64" t="s">
        <v>111</v>
      </c>
      <c r="D95" s="65"/>
      <c r="E95" s="65"/>
      <c r="F95" s="65"/>
      <c r="G95" s="65"/>
      <c r="H95" s="65"/>
      <c r="I95" s="65"/>
      <c r="J95" s="323">
        <v>0</v>
      </c>
      <c r="K95" s="324"/>
      <c r="L95" s="324"/>
      <c r="M95" s="84"/>
      <c r="N95" s="8"/>
      <c r="O95" s="5"/>
    </row>
    <row r="96" spans="2:15">
      <c r="B96" s="10"/>
      <c r="C96" s="64" t="s">
        <v>112</v>
      </c>
      <c r="D96" s="65"/>
      <c r="E96" s="65"/>
      <c r="F96" s="65"/>
      <c r="G96" s="65"/>
      <c r="H96" s="65"/>
      <c r="I96" s="65"/>
      <c r="J96" s="323">
        <v>0</v>
      </c>
      <c r="K96" s="324"/>
      <c r="L96" s="324"/>
      <c r="M96" s="84"/>
      <c r="N96" s="8"/>
      <c r="O96" s="5"/>
    </row>
    <row r="97" spans="2:15" ht="15" thickBot="1">
      <c r="B97" s="10"/>
      <c r="C97" s="64" t="s">
        <v>113</v>
      </c>
      <c r="D97" s="65"/>
      <c r="E97" s="65"/>
      <c r="F97" s="65"/>
      <c r="G97" s="65"/>
      <c r="H97" s="65"/>
      <c r="I97" s="65"/>
      <c r="J97" s="325">
        <v>0</v>
      </c>
      <c r="K97" s="326"/>
      <c r="L97" s="326"/>
      <c r="M97" s="87"/>
      <c r="N97" s="8"/>
      <c r="O97" s="5"/>
    </row>
    <row r="98" spans="2:15" ht="15" thickBot="1">
      <c r="B98" s="10"/>
      <c r="C98" s="337" t="s">
        <v>114</v>
      </c>
      <c r="D98" s="338"/>
      <c r="E98" s="338"/>
      <c r="F98" s="338"/>
      <c r="G98" s="338"/>
      <c r="H98" s="338"/>
      <c r="I98" s="338"/>
      <c r="J98" s="338"/>
      <c r="K98" s="338"/>
      <c r="L98" s="338"/>
      <c r="M98" s="339"/>
      <c r="N98" s="8"/>
      <c r="O98" s="5"/>
    </row>
    <row r="99" spans="2:15">
      <c r="B99" s="10"/>
      <c r="C99" s="83" t="s">
        <v>115</v>
      </c>
      <c r="D99" s="65"/>
      <c r="E99" s="65"/>
      <c r="F99" s="65"/>
      <c r="G99" s="65"/>
      <c r="H99" s="65"/>
      <c r="I99" s="65"/>
      <c r="J99" s="340">
        <f>SUM(J100:L103)</f>
        <v>89328120.519027367</v>
      </c>
      <c r="K99" s="341"/>
      <c r="L99" s="341"/>
      <c r="M99" s="342"/>
      <c r="N99" s="8"/>
      <c r="O99" s="5"/>
    </row>
    <row r="100" spans="2:15">
      <c r="B100" s="10"/>
      <c r="C100" s="64" t="s">
        <v>116</v>
      </c>
      <c r="D100" s="65"/>
      <c r="E100" s="65"/>
      <c r="F100" s="65"/>
      <c r="G100" s="65"/>
      <c r="H100" s="65"/>
      <c r="I100" s="65"/>
      <c r="J100" s="323">
        <f>J60</f>
        <v>-209795.59573841095</v>
      </c>
      <c r="K100" s="324"/>
      <c r="L100" s="324"/>
      <c r="M100" s="8"/>
      <c r="N100" s="8"/>
      <c r="O100" s="5"/>
    </row>
    <row r="101" spans="2:15">
      <c r="B101" s="10"/>
      <c r="C101" s="64" t="s">
        <v>117</v>
      </c>
      <c r="D101" s="65"/>
      <c r="E101" s="65"/>
      <c r="F101" s="65"/>
      <c r="G101" s="65"/>
      <c r="H101" s="65"/>
      <c r="I101" s="65"/>
      <c r="J101" s="323">
        <f>J64+J67+J70-J87+J62+J85-J103</f>
        <v>62636916.114765778</v>
      </c>
      <c r="K101" s="324"/>
      <c r="L101" s="324"/>
      <c r="M101" s="8"/>
      <c r="N101" s="8"/>
      <c r="O101" s="5"/>
    </row>
    <row r="102" spans="2:15">
      <c r="B102" s="10"/>
      <c r="C102" s="64" t="s">
        <v>79</v>
      </c>
      <c r="D102" s="65"/>
      <c r="E102" s="65"/>
      <c r="F102" s="65"/>
      <c r="G102" s="65"/>
      <c r="H102" s="65"/>
      <c r="I102" s="65"/>
      <c r="J102" s="323">
        <f>M218</f>
        <v>0</v>
      </c>
      <c r="K102" s="324"/>
      <c r="L102" s="324"/>
      <c r="M102" s="8"/>
      <c r="N102" s="8"/>
      <c r="O102" s="5"/>
    </row>
    <row r="103" spans="2:15" ht="15" thickBot="1">
      <c r="B103" s="10"/>
      <c r="C103" s="69" t="s">
        <v>80</v>
      </c>
      <c r="D103" s="70"/>
      <c r="E103" s="70"/>
      <c r="F103" s="70"/>
      <c r="G103" s="70"/>
      <c r="H103" s="70"/>
      <c r="I103" s="70"/>
      <c r="J103" s="330">
        <f>+J209</f>
        <v>26901000</v>
      </c>
      <c r="K103" s="331"/>
      <c r="L103" s="331"/>
      <c r="M103" s="71"/>
      <c r="N103" s="8"/>
      <c r="O103" s="5"/>
    </row>
    <row r="104" spans="2:15" ht="15" thickBot="1">
      <c r="B104" s="10"/>
      <c r="C104" s="88"/>
      <c r="D104" s="5"/>
      <c r="E104" s="5"/>
      <c r="F104" s="5"/>
      <c r="G104" s="5"/>
      <c r="H104" s="5"/>
      <c r="I104" s="5"/>
      <c r="J104" s="5"/>
      <c r="K104" s="5"/>
      <c r="L104" s="5"/>
      <c r="M104" s="8"/>
      <c r="N104" s="8"/>
      <c r="O104" s="5"/>
    </row>
    <row r="105" spans="2:15" ht="15" thickBot="1">
      <c r="B105" s="10"/>
      <c r="C105" s="223" t="s">
        <v>118</v>
      </c>
      <c r="D105" s="224"/>
      <c r="E105" s="224"/>
      <c r="F105" s="224"/>
      <c r="G105" s="224"/>
      <c r="H105" s="224"/>
      <c r="I105" s="224"/>
      <c r="J105" s="224"/>
      <c r="K105" s="224"/>
      <c r="L105" s="224"/>
      <c r="M105" s="225"/>
      <c r="N105" s="8"/>
      <c r="O105" s="5"/>
    </row>
    <row r="106" spans="2:15">
      <c r="B106" s="10"/>
      <c r="C106" s="83" t="s">
        <v>119</v>
      </c>
      <c r="D106" s="89"/>
      <c r="E106" s="89"/>
      <c r="F106" s="89"/>
      <c r="G106" s="89"/>
      <c r="H106" s="89"/>
      <c r="I106" s="89"/>
      <c r="J106" s="332">
        <f>J107+J108+J109-J110+J111+J112</f>
        <v>18475499.003773987</v>
      </c>
      <c r="K106" s="333"/>
      <c r="L106" s="333"/>
      <c r="M106" s="334"/>
      <c r="N106" s="8"/>
      <c r="O106" s="5"/>
    </row>
    <row r="107" spans="2:15">
      <c r="B107" s="10"/>
      <c r="C107" s="64" t="s">
        <v>120</v>
      </c>
      <c r="D107" s="65"/>
      <c r="E107" s="65"/>
      <c r="F107" s="65"/>
      <c r="G107" s="65"/>
      <c r="H107" s="65"/>
      <c r="I107" s="65"/>
      <c r="J107" s="335">
        <f>J71+J72+J85+J80+J81-J92</f>
        <v>24012196.033773988</v>
      </c>
      <c r="K107" s="336"/>
      <c r="L107" s="336"/>
      <c r="M107" s="45"/>
      <c r="N107" s="8"/>
      <c r="O107" s="5"/>
    </row>
    <row r="108" spans="2:15">
      <c r="B108" s="10"/>
      <c r="C108" s="64" t="s">
        <v>121</v>
      </c>
      <c r="D108" s="65"/>
      <c r="E108" s="65"/>
      <c r="F108" s="65"/>
      <c r="G108" s="65"/>
      <c r="H108" s="65"/>
      <c r="I108" s="65"/>
      <c r="J108" s="323">
        <f>IF('Servicer Report'!L62&gt;'Servicer Report'!I62,'Servicer Report'!L62*50%,0)</f>
        <v>0</v>
      </c>
      <c r="K108" s="324"/>
      <c r="L108" s="324"/>
      <c r="M108" s="79"/>
      <c r="N108" s="8"/>
      <c r="O108" s="5"/>
    </row>
    <row r="109" spans="2:15">
      <c r="B109" s="10"/>
      <c r="C109" s="64" t="s">
        <v>122</v>
      </c>
      <c r="D109" s="65"/>
      <c r="E109" s="65"/>
      <c r="F109" s="65"/>
      <c r="G109" s="65"/>
      <c r="H109" s="65"/>
      <c r="I109" s="65"/>
      <c r="J109" s="323">
        <v>0</v>
      </c>
      <c r="K109" s="324"/>
      <c r="L109" s="324"/>
      <c r="M109" s="79"/>
      <c r="N109" s="8"/>
      <c r="O109" s="5"/>
    </row>
    <row r="110" spans="2:15">
      <c r="B110" s="10"/>
      <c r="C110" s="64" t="s">
        <v>123</v>
      </c>
      <c r="D110" s="65"/>
      <c r="E110" s="65"/>
      <c r="F110" s="65"/>
      <c r="G110" s="65"/>
      <c r="H110" s="65"/>
      <c r="I110" s="65"/>
      <c r="J110" s="323">
        <f>'Servicer Report'!J30</f>
        <v>5536697.0300000003</v>
      </c>
      <c r="K110" s="324"/>
      <c r="L110" s="324"/>
      <c r="M110" s="79"/>
      <c r="N110" s="8"/>
      <c r="O110" s="5"/>
    </row>
    <row r="111" spans="2:15">
      <c r="B111" s="10"/>
      <c r="C111" s="64" t="s">
        <v>124</v>
      </c>
      <c r="D111" s="65"/>
      <c r="E111" s="65"/>
      <c r="F111" s="65"/>
      <c r="G111" s="65"/>
      <c r="H111" s="65"/>
      <c r="I111" s="65"/>
      <c r="J111" s="323">
        <v>0</v>
      </c>
      <c r="K111" s="324"/>
      <c r="L111" s="324"/>
      <c r="M111" s="79"/>
      <c r="N111" s="8"/>
      <c r="O111" s="5"/>
    </row>
    <row r="112" spans="2:15" ht="15" thickBot="1">
      <c r="B112" s="10"/>
      <c r="C112" s="69" t="s">
        <v>125</v>
      </c>
      <c r="D112" s="70"/>
      <c r="E112" s="70"/>
      <c r="F112" s="70"/>
      <c r="G112" s="70"/>
      <c r="H112" s="70"/>
      <c r="I112" s="70"/>
      <c r="J112" s="325">
        <v>0</v>
      </c>
      <c r="K112" s="326"/>
      <c r="L112" s="326"/>
      <c r="M112" s="90"/>
      <c r="N112" s="8"/>
      <c r="O112" s="5"/>
    </row>
    <row r="113" spans="2:15" ht="15" thickBot="1">
      <c r="B113" s="10"/>
      <c r="C113" s="88"/>
      <c r="D113" s="5"/>
      <c r="E113" s="5"/>
      <c r="F113" s="5"/>
      <c r="G113" s="91"/>
      <c r="H113" s="91"/>
      <c r="I113" s="91"/>
      <c r="J113" s="91"/>
      <c r="K113" s="91"/>
      <c r="L113" s="91"/>
      <c r="M113" s="91"/>
      <c r="N113" s="8"/>
      <c r="O113" s="5"/>
    </row>
    <row r="114" spans="2:15" ht="15" thickBot="1">
      <c r="B114" s="10"/>
      <c r="C114" s="223" t="s">
        <v>126</v>
      </c>
      <c r="D114" s="224"/>
      <c r="E114" s="224"/>
      <c r="F114" s="224"/>
      <c r="G114" s="224"/>
      <c r="H114" s="224"/>
      <c r="I114" s="224"/>
      <c r="J114" s="224"/>
      <c r="K114" s="224"/>
      <c r="L114" s="224"/>
      <c r="M114" s="225"/>
      <c r="N114" s="8"/>
      <c r="O114" s="5"/>
    </row>
    <row r="115" spans="2:15">
      <c r="B115" s="10"/>
      <c r="C115" s="41" t="s">
        <v>127</v>
      </c>
      <c r="D115" s="92"/>
      <c r="E115" s="92"/>
      <c r="F115" s="92"/>
      <c r="G115" s="92"/>
      <c r="H115" s="92"/>
      <c r="I115" s="92"/>
      <c r="J115" s="327">
        <f>J106</f>
        <v>18475499.003773987</v>
      </c>
      <c r="K115" s="328"/>
      <c r="L115" s="328"/>
      <c r="M115" s="329"/>
      <c r="N115" s="8"/>
      <c r="O115" s="5"/>
    </row>
    <row r="116" spans="2:15">
      <c r="B116" s="10"/>
      <c r="C116" s="12" t="s">
        <v>128</v>
      </c>
      <c r="D116" s="15"/>
      <c r="E116" s="15"/>
      <c r="F116" s="15"/>
      <c r="G116" s="15"/>
      <c r="H116" s="15"/>
      <c r="I116" s="15"/>
      <c r="J116" s="313">
        <f>J170</f>
        <v>56032764.6406174</v>
      </c>
      <c r="K116" s="314"/>
      <c r="L116" s="314"/>
      <c r="M116" s="315"/>
      <c r="N116" s="8"/>
      <c r="O116" s="5"/>
    </row>
    <row r="117" spans="2:15" ht="15" thickBot="1">
      <c r="B117" s="10"/>
      <c r="C117" s="93" t="s">
        <v>129</v>
      </c>
      <c r="D117" s="94"/>
      <c r="E117" s="94"/>
      <c r="F117" s="94"/>
      <c r="G117" s="94"/>
      <c r="H117" s="94"/>
      <c r="I117" s="94"/>
      <c r="J117" s="316">
        <f>MAX(J115-J116,0)</f>
        <v>0</v>
      </c>
      <c r="K117" s="317"/>
      <c r="L117" s="317"/>
      <c r="M117" s="318"/>
      <c r="N117" s="8"/>
      <c r="O117" s="5"/>
    </row>
    <row r="118" spans="2:15" ht="15" thickBot="1">
      <c r="B118" s="10"/>
      <c r="C118" s="88"/>
      <c r="D118" s="5"/>
      <c r="E118" s="5"/>
      <c r="F118" s="5"/>
      <c r="G118" s="5"/>
      <c r="H118" s="5"/>
      <c r="I118" s="5"/>
      <c r="J118" s="91"/>
      <c r="K118" s="91"/>
      <c r="L118" s="91"/>
      <c r="M118" s="8"/>
      <c r="N118" s="8"/>
      <c r="O118" s="5"/>
    </row>
    <row r="119" spans="2:15" ht="15" thickBot="1">
      <c r="B119" s="10"/>
      <c r="C119" s="223" t="s">
        <v>130</v>
      </c>
      <c r="D119" s="224"/>
      <c r="E119" s="224"/>
      <c r="F119" s="224"/>
      <c r="G119" s="224"/>
      <c r="H119" s="224"/>
      <c r="I119" s="224"/>
      <c r="J119" s="224"/>
      <c r="K119" s="224"/>
      <c r="L119" s="224"/>
      <c r="M119" s="225"/>
      <c r="N119" s="8"/>
      <c r="O119" s="5"/>
    </row>
    <row r="120" spans="2:15">
      <c r="B120" s="10"/>
      <c r="C120" s="95"/>
      <c r="D120" s="96"/>
      <c r="E120" s="96"/>
      <c r="F120" s="319" t="s">
        <v>131</v>
      </c>
      <c r="G120" s="320"/>
      <c r="H120" s="319" t="s">
        <v>132</v>
      </c>
      <c r="I120" s="321"/>
      <c r="J120" s="319" t="s">
        <v>133</v>
      </c>
      <c r="K120" s="320"/>
      <c r="L120" s="319" t="s">
        <v>134</v>
      </c>
      <c r="M120" s="322"/>
      <c r="N120" s="8"/>
      <c r="O120" s="5"/>
    </row>
    <row r="121" spans="2:15">
      <c r="B121" s="10"/>
      <c r="C121" s="12" t="s">
        <v>135</v>
      </c>
      <c r="D121" s="61"/>
      <c r="E121" s="61"/>
      <c r="F121" s="305">
        <v>0</v>
      </c>
      <c r="G121" s="306"/>
      <c r="H121" s="305">
        <v>0</v>
      </c>
      <c r="I121" s="307"/>
      <c r="J121" s="305" t="s">
        <v>136</v>
      </c>
      <c r="K121" s="306"/>
      <c r="L121" s="305" t="s">
        <v>136</v>
      </c>
      <c r="M121" s="308"/>
      <c r="N121" s="8"/>
      <c r="O121" s="5"/>
    </row>
    <row r="122" spans="2:15" ht="15" thickBot="1">
      <c r="B122" s="10"/>
      <c r="C122" s="93" t="s">
        <v>137</v>
      </c>
      <c r="D122" s="70"/>
      <c r="E122" s="70"/>
      <c r="F122" s="309">
        <v>0</v>
      </c>
      <c r="G122" s="310"/>
      <c r="H122" s="309">
        <v>0</v>
      </c>
      <c r="I122" s="311"/>
      <c r="J122" s="309" t="s">
        <v>136</v>
      </c>
      <c r="K122" s="310"/>
      <c r="L122" s="309" t="s">
        <v>136</v>
      </c>
      <c r="M122" s="312"/>
      <c r="N122" s="8"/>
      <c r="O122" s="5"/>
    </row>
    <row r="123" spans="2:15" ht="15" thickBot="1">
      <c r="B123" s="10"/>
      <c r="C123" s="88"/>
      <c r="D123" s="5"/>
      <c r="E123" s="5"/>
      <c r="F123" s="5"/>
      <c r="G123" s="5"/>
      <c r="H123" s="5"/>
      <c r="I123" s="5"/>
      <c r="J123" s="5"/>
      <c r="K123" s="5"/>
      <c r="L123" s="5"/>
      <c r="M123" s="5"/>
      <c r="N123" s="8"/>
      <c r="O123" s="5"/>
    </row>
    <row r="124" spans="2:15" ht="15" thickBot="1">
      <c r="B124" s="10"/>
      <c r="C124" s="223" t="s">
        <v>138</v>
      </c>
      <c r="D124" s="224"/>
      <c r="E124" s="224"/>
      <c r="F124" s="224"/>
      <c r="G124" s="224"/>
      <c r="H124" s="224"/>
      <c r="I124" s="224"/>
      <c r="J124" s="224"/>
      <c r="K124" s="224"/>
      <c r="L124" s="224"/>
      <c r="M124" s="225"/>
      <c r="N124" s="8"/>
      <c r="O124" s="5"/>
    </row>
    <row r="125" spans="2:15">
      <c r="B125" s="10"/>
      <c r="C125" s="64" t="s">
        <v>139</v>
      </c>
      <c r="D125" s="65"/>
      <c r="E125" s="65"/>
      <c r="F125" s="65"/>
      <c r="G125" s="65"/>
      <c r="H125" s="65"/>
      <c r="I125" s="65"/>
      <c r="J125" s="298" t="s">
        <v>140</v>
      </c>
      <c r="K125" s="299"/>
      <c r="L125" s="299"/>
      <c r="M125" s="97"/>
      <c r="N125" s="8"/>
      <c r="O125" s="5"/>
    </row>
    <row r="126" spans="2:15">
      <c r="B126" s="10"/>
      <c r="C126" s="64" t="s">
        <v>141</v>
      </c>
      <c r="D126" s="65"/>
      <c r="E126" s="65"/>
      <c r="F126" s="65"/>
      <c r="G126" s="65"/>
      <c r="H126" s="65"/>
      <c r="I126" s="65"/>
      <c r="J126" s="300" t="s">
        <v>140</v>
      </c>
      <c r="K126" s="301"/>
      <c r="L126" s="301"/>
      <c r="M126" s="98"/>
      <c r="N126" s="8"/>
      <c r="O126" s="5"/>
    </row>
    <row r="127" spans="2:15">
      <c r="B127" s="10"/>
      <c r="C127" s="64" t="s">
        <v>142</v>
      </c>
      <c r="D127" s="65"/>
      <c r="E127" s="65"/>
      <c r="F127" s="65"/>
      <c r="G127" s="65"/>
      <c r="H127" s="65"/>
      <c r="I127" s="65"/>
      <c r="J127" s="300" t="s">
        <v>136</v>
      </c>
      <c r="K127" s="301"/>
      <c r="L127" s="301"/>
      <c r="M127" s="98"/>
      <c r="N127" s="8"/>
      <c r="O127" s="5"/>
    </row>
    <row r="128" spans="2:15">
      <c r="B128" s="10"/>
      <c r="C128" s="41" t="s">
        <v>143</v>
      </c>
      <c r="D128" s="76"/>
      <c r="E128" s="76"/>
      <c r="F128" s="76"/>
      <c r="G128" s="76"/>
      <c r="H128" s="76"/>
      <c r="I128" s="76"/>
      <c r="J128" s="302" t="s">
        <v>140</v>
      </c>
      <c r="K128" s="303"/>
      <c r="L128" s="303"/>
      <c r="M128" s="304"/>
      <c r="N128" s="8"/>
      <c r="O128" s="5"/>
    </row>
    <row r="129" spans="2:15">
      <c r="B129" s="10"/>
      <c r="C129" s="99" t="s">
        <v>144</v>
      </c>
      <c r="D129" s="63"/>
      <c r="E129" s="63"/>
      <c r="F129" s="63"/>
      <c r="G129" s="63"/>
      <c r="H129" s="63"/>
      <c r="I129" s="63"/>
      <c r="J129" s="296" t="s">
        <v>140</v>
      </c>
      <c r="K129" s="297"/>
      <c r="L129" s="297"/>
      <c r="M129" s="100"/>
      <c r="N129" s="8"/>
      <c r="O129" s="5"/>
    </row>
    <row r="130" spans="2:15">
      <c r="B130" s="10"/>
      <c r="C130" s="80" t="s">
        <v>145</v>
      </c>
      <c r="D130" s="65"/>
      <c r="E130" s="65"/>
      <c r="F130" s="65"/>
      <c r="G130" s="65"/>
      <c r="H130" s="65"/>
      <c r="I130" s="65"/>
      <c r="J130" s="288" t="s">
        <v>140</v>
      </c>
      <c r="K130" s="289"/>
      <c r="L130" s="289"/>
      <c r="M130" s="101"/>
      <c r="N130" s="8"/>
      <c r="O130" s="5"/>
    </row>
    <row r="131" spans="2:15">
      <c r="B131" s="10"/>
      <c r="C131" s="80" t="s">
        <v>146</v>
      </c>
      <c r="D131" s="65"/>
      <c r="E131" s="65"/>
      <c r="F131" s="65"/>
      <c r="G131" s="65"/>
      <c r="H131" s="65"/>
      <c r="I131" s="65"/>
      <c r="J131" s="288" t="s">
        <v>140</v>
      </c>
      <c r="K131" s="289"/>
      <c r="L131" s="289"/>
      <c r="M131" s="101"/>
      <c r="N131" s="8"/>
      <c r="O131" s="5"/>
    </row>
    <row r="132" spans="2:15">
      <c r="B132" s="10"/>
      <c r="C132" s="80" t="s">
        <v>147</v>
      </c>
      <c r="D132" s="65"/>
      <c r="E132" s="65"/>
      <c r="F132" s="65"/>
      <c r="G132" s="65"/>
      <c r="H132" s="65"/>
      <c r="I132" s="65"/>
      <c r="J132" s="288" t="s">
        <v>136</v>
      </c>
      <c r="K132" s="289"/>
      <c r="L132" s="289"/>
      <c r="M132" s="101"/>
      <c r="N132" s="8"/>
      <c r="O132" s="5"/>
    </row>
    <row r="133" spans="2:15">
      <c r="B133" s="10"/>
      <c r="C133" s="80" t="s">
        <v>148</v>
      </c>
      <c r="D133" s="65"/>
      <c r="E133" s="65"/>
      <c r="F133" s="65"/>
      <c r="G133" s="65"/>
      <c r="H133" s="65"/>
      <c r="I133" s="65"/>
      <c r="J133" s="288" t="s">
        <v>136</v>
      </c>
      <c r="K133" s="289"/>
      <c r="L133" s="289"/>
      <c r="M133" s="101"/>
      <c r="N133" s="8"/>
      <c r="O133" s="5"/>
    </row>
    <row r="134" spans="2:15">
      <c r="B134" s="10"/>
      <c r="C134" s="80" t="s">
        <v>149</v>
      </c>
      <c r="D134" s="65"/>
      <c r="E134" s="65"/>
      <c r="F134" s="65"/>
      <c r="G134" s="65"/>
      <c r="H134" s="65"/>
      <c r="I134" s="65"/>
      <c r="J134" s="288" t="s">
        <v>136</v>
      </c>
      <c r="K134" s="289"/>
      <c r="L134" s="289"/>
      <c r="M134" s="101"/>
      <c r="N134" s="8"/>
      <c r="O134" s="5"/>
    </row>
    <row r="135" spans="2:15">
      <c r="B135" s="10"/>
      <c r="C135" s="80" t="s">
        <v>150</v>
      </c>
      <c r="D135" s="65"/>
      <c r="E135" s="65"/>
      <c r="F135" s="65"/>
      <c r="G135" s="65"/>
      <c r="H135" s="65"/>
      <c r="I135" s="65"/>
      <c r="J135" s="288" t="s">
        <v>136</v>
      </c>
      <c r="K135" s="289"/>
      <c r="L135" s="289"/>
      <c r="M135" s="101"/>
      <c r="N135" s="8"/>
      <c r="O135" s="5"/>
    </row>
    <row r="136" spans="2:15">
      <c r="B136" s="10"/>
      <c r="C136" s="80" t="s">
        <v>151</v>
      </c>
      <c r="D136" s="65"/>
      <c r="E136" s="65"/>
      <c r="F136" s="65"/>
      <c r="G136" s="65"/>
      <c r="H136" s="65"/>
      <c r="I136" s="65"/>
      <c r="J136" s="288" t="s">
        <v>136</v>
      </c>
      <c r="K136" s="289"/>
      <c r="L136" s="289"/>
      <c r="M136" s="101"/>
      <c r="N136" s="8"/>
      <c r="O136" s="5"/>
    </row>
    <row r="137" spans="2:15">
      <c r="B137" s="10"/>
      <c r="C137" s="41" t="s">
        <v>152</v>
      </c>
      <c r="D137" s="76"/>
      <c r="E137" s="76"/>
      <c r="F137" s="76"/>
      <c r="G137" s="76"/>
      <c r="H137" s="76"/>
      <c r="I137" s="76"/>
      <c r="J137" s="290" t="s">
        <v>140</v>
      </c>
      <c r="K137" s="291"/>
      <c r="L137" s="291"/>
      <c r="M137" s="292"/>
      <c r="N137" s="8"/>
      <c r="O137" s="5"/>
    </row>
    <row r="138" spans="2:15">
      <c r="B138" s="10"/>
      <c r="C138" s="99" t="s">
        <v>153</v>
      </c>
      <c r="D138" s="63"/>
      <c r="E138" s="63"/>
      <c r="F138" s="63"/>
      <c r="G138" s="63"/>
      <c r="H138" s="63"/>
      <c r="I138" s="63"/>
      <c r="J138" s="296" t="s">
        <v>140</v>
      </c>
      <c r="K138" s="297"/>
      <c r="L138" s="297"/>
      <c r="M138" s="100"/>
      <c r="N138" s="8"/>
      <c r="O138" s="5"/>
    </row>
    <row r="139" spans="2:15">
      <c r="B139" s="10"/>
      <c r="C139" s="80" t="s">
        <v>145</v>
      </c>
      <c r="D139" s="65"/>
      <c r="E139" s="65"/>
      <c r="F139" s="65"/>
      <c r="G139" s="65"/>
      <c r="H139" s="65"/>
      <c r="I139" s="65"/>
      <c r="J139" s="288" t="s">
        <v>140</v>
      </c>
      <c r="K139" s="289"/>
      <c r="L139" s="289"/>
      <c r="M139" s="101"/>
      <c r="N139" s="8"/>
      <c r="O139" s="5"/>
    </row>
    <row r="140" spans="2:15">
      <c r="B140" s="10"/>
      <c r="C140" s="80" t="s">
        <v>154</v>
      </c>
      <c r="D140" s="65"/>
      <c r="E140" s="65"/>
      <c r="F140" s="65"/>
      <c r="G140" s="65"/>
      <c r="H140" s="65"/>
      <c r="I140" s="65"/>
      <c r="J140" s="288" t="s">
        <v>140</v>
      </c>
      <c r="K140" s="289"/>
      <c r="L140" s="289"/>
      <c r="M140" s="101"/>
      <c r="N140" s="8"/>
      <c r="O140" s="5"/>
    </row>
    <row r="141" spans="2:15">
      <c r="B141" s="10"/>
      <c r="C141" s="80" t="s">
        <v>147</v>
      </c>
      <c r="D141" s="65"/>
      <c r="E141" s="65"/>
      <c r="F141" s="65"/>
      <c r="G141" s="65"/>
      <c r="H141" s="65"/>
      <c r="I141" s="65"/>
      <c r="J141" s="288" t="s">
        <v>136</v>
      </c>
      <c r="K141" s="289"/>
      <c r="L141" s="289"/>
      <c r="M141" s="101"/>
      <c r="N141" s="8"/>
      <c r="O141" s="5"/>
    </row>
    <row r="142" spans="2:15">
      <c r="B142" s="10"/>
      <c r="C142" s="80" t="s">
        <v>148</v>
      </c>
      <c r="D142" s="65"/>
      <c r="E142" s="65"/>
      <c r="F142" s="65"/>
      <c r="G142" s="65"/>
      <c r="H142" s="65"/>
      <c r="I142" s="65"/>
      <c r="J142" s="288" t="s">
        <v>136</v>
      </c>
      <c r="K142" s="289"/>
      <c r="L142" s="289"/>
      <c r="M142" s="101"/>
      <c r="N142" s="8"/>
      <c r="O142" s="5"/>
    </row>
    <row r="143" spans="2:15">
      <c r="B143" s="10"/>
      <c r="C143" s="80" t="s">
        <v>149</v>
      </c>
      <c r="D143" s="65"/>
      <c r="E143" s="65"/>
      <c r="F143" s="65"/>
      <c r="G143" s="65"/>
      <c r="H143" s="65"/>
      <c r="I143" s="65"/>
      <c r="J143" s="288" t="s">
        <v>136</v>
      </c>
      <c r="K143" s="289"/>
      <c r="L143" s="289"/>
      <c r="M143" s="101"/>
      <c r="N143" s="8"/>
      <c r="O143" s="5"/>
    </row>
    <row r="144" spans="2:15">
      <c r="B144" s="10"/>
      <c r="C144" s="80" t="s">
        <v>155</v>
      </c>
      <c r="D144" s="65"/>
      <c r="E144" s="65"/>
      <c r="F144" s="65"/>
      <c r="G144" s="65"/>
      <c r="H144" s="65"/>
      <c r="I144" s="65"/>
      <c r="J144" s="288" t="s">
        <v>140</v>
      </c>
      <c r="K144" s="289"/>
      <c r="L144" s="289"/>
      <c r="M144" s="101"/>
      <c r="N144" s="8"/>
      <c r="O144" s="5"/>
    </row>
    <row r="145" spans="2:15">
      <c r="B145" s="10"/>
      <c r="C145" s="80" t="s">
        <v>151</v>
      </c>
      <c r="D145" s="65"/>
      <c r="E145" s="65"/>
      <c r="F145" s="65"/>
      <c r="G145" s="65"/>
      <c r="H145" s="65"/>
      <c r="I145" s="65"/>
      <c r="J145" s="288" t="s">
        <v>136</v>
      </c>
      <c r="K145" s="289"/>
      <c r="L145" s="289"/>
      <c r="M145" s="101"/>
      <c r="N145" s="8"/>
      <c r="O145" s="5"/>
    </row>
    <row r="146" spans="2:15">
      <c r="B146" s="10"/>
      <c r="C146" s="41" t="s">
        <v>156</v>
      </c>
      <c r="D146" s="76"/>
      <c r="E146" s="76"/>
      <c r="F146" s="76"/>
      <c r="G146" s="76"/>
      <c r="H146" s="76"/>
      <c r="I146" s="76"/>
      <c r="J146" s="290" t="s">
        <v>140</v>
      </c>
      <c r="K146" s="291"/>
      <c r="L146" s="291"/>
      <c r="M146" s="292"/>
      <c r="N146" s="8"/>
      <c r="O146" s="5"/>
    </row>
    <row r="147" spans="2:15" ht="15" thickBot="1">
      <c r="B147" s="10"/>
      <c r="C147" s="93" t="s">
        <v>157</v>
      </c>
      <c r="D147" s="70"/>
      <c r="E147" s="70"/>
      <c r="F147" s="70"/>
      <c r="G147" s="70"/>
      <c r="H147" s="70"/>
      <c r="I147" s="70"/>
      <c r="J147" s="293" t="s">
        <v>140</v>
      </c>
      <c r="K147" s="294"/>
      <c r="L147" s="294"/>
      <c r="M147" s="295"/>
      <c r="N147" s="8"/>
      <c r="O147" s="5"/>
    </row>
    <row r="148" spans="2:15" ht="15" thickBot="1">
      <c r="B148" s="10"/>
      <c r="C148" s="88"/>
      <c r="D148" s="5"/>
      <c r="E148" s="5"/>
      <c r="F148" s="5"/>
      <c r="G148" s="5"/>
      <c r="H148" s="5"/>
      <c r="I148" s="5"/>
      <c r="J148" s="5"/>
      <c r="K148" s="5"/>
      <c r="L148" s="5"/>
      <c r="M148" s="5"/>
      <c r="N148" s="8"/>
      <c r="O148" s="5"/>
    </row>
    <row r="149" spans="2:15" ht="15" thickBot="1">
      <c r="B149" s="10"/>
      <c r="C149" s="223" t="s">
        <v>158</v>
      </c>
      <c r="D149" s="224"/>
      <c r="E149" s="224"/>
      <c r="F149" s="224"/>
      <c r="G149" s="224"/>
      <c r="H149" s="224"/>
      <c r="I149" s="224"/>
      <c r="J149" s="224"/>
      <c r="K149" s="224"/>
      <c r="L149" s="224"/>
      <c r="M149" s="225"/>
      <c r="N149" s="8"/>
      <c r="O149" s="5"/>
    </row>
    <row r="150" spans="2:15" ht="45.75" customHeight="1">
      <c r="B150" s="10"/>
      <c r="C150" s="278" t="s">
        <v>159</v>
      </c>
      <c r="D150" s="279"/>
      <c r="E150" s="279"/>
      <c r="F150" s="279"/>
      <c r="G150" s="280"/>
      <c r="H150" s="281" t="s">
        <v>160</v>
      </c>
      <c r="I150" s="282"/>
      <c r="J150" s="283" t="s">
        <v>161</v>
      </c>
      <c r="K150" s="284"/>
      <c r="L150" s="281" t="s">
        <v>162</v>
      </c>
      <c r="M150" s="285"/>
      <c r="N150" s="8"/>
      <c r="O150" s="5"/>
    </row>
    <row r="151" spans="2:15">
      <c r="B151" s="10"/>
      <c r="C151" s="258" t="s">
        <v>163</v>
      </c>
      <c r="D151" s="259"/>
      <c r="E151" s="259"/>
      <c r="F151" s="259"/>
      <c r="G151" s="260"/>
      <c r="H151" s="286">
        <v>1341414.31</v>
      </c>
      <c r="I151" s="287"/>
      <c r="J151" s="238">
        <f>J99</f>
        <v>89328120.519027367</v>
      </c>
      <c r="K151" s="239"/>
      <c r="L151" s="238">
        <f>H151</f>
        <v>1341414.31</v>
      </c>
      <c r="M151" s="240"/>
      <c r="N151" s="8"/>
      <c r="O151" s="5"/>
    </row>
    <row r="152" spans="2:15">
      <c r="B152" s="10"/>
      <c r="C152" s="262" t="s">
        <v>164</v>
      </c>
      <c r="D152" s="263"/>
      <c r="E152" s="263"/>
      <c r="F152" s="263"/>
      <c r="G152" s="264"/>
      <c r="H152" s="265">
        <f>SUM(H153:H154)</f>
        <v>98128.509999999733</v>
      </c>
      <c r="I152" s="266"/>
      <c r="J152" s="267">
        <f>J151-L151</f>
        <v>87986706.209027365</v>
      </c>
      <c r="K152" s="268"/>
      <c r="L152" s="102">
        <f>SUM(L153:L154)</f>
        <v>98128.509999999733</v>
      </c>
      <c r="M152" s="103"/>
      <c r="N152" s="8"/>
      <c r="O152" s="5"/>
    </row>
    <row r="153" spans="2:15">
      <c r="B153" s="10"/>
      <c r="C153" s="251" t="s">
        <v>165</v>
      </c>
      <c r="D153" s="252"/>
      <c r="E153" s="252"/>
      <c r="F153" s="252"/>
      <c r="G153" s="253"/>
      <c r="H153" s="104">
        <v>86805.149999999718</v>
      </c>
      <c r="I153" s="67"/>
      <c r="J153" s="66">
        <f>J152*H153/$H$152</f>
        <v>77833641.114906847</v>
      </c>
      <c r="K153" s="67"/>
      <c r="L153" s="105">
        <f>H153</f>
        <v>86805.149999999718</v>
      </c>
      <c r="M153" s="8"/>
      <c r="N153" s="8"/>
      <c r="O153" s="5"/>
    </row>
    <row r="154" spans="2:15">
      <c r="B154" s="10"/>
      <c r="C154" s="270" t="s">
        <v>166</v>
      </c>
      <c r="D154" s="271"/>
      <c r="E154" s="271"/>
      <c r="F154" s="271"/>
      <c r="G154" s="272"/>
      <c r="H154" s="106">
        <v>11323.360000000021</v>
      </c>
      <c r="I154" s="78"/>
      <c r="J154" s="77">
        <f>J152*H154/$H$152</f>
        <v>10153065.094120523</v>
      </c>
      <c r="K154" s="78"/>
      <c r="L154" s="107">
        <f>H154</f>
        <v>11323.360000000021</v>
      </c>
      <c r="M154" s="8"/>
      <c r="N154" s="8"/>
      <c r="O154" s="5"/>
    </row>
    <row r="155" spans="2:15">
      <c r="B155" s="10"/>
      <c r="C155" s="275" t="s">
        <v>167</v>
      </c>
      <c r="D155" s="276"/>
      <c r="E155" s="276"/>
      <c r="F155" s="276"/>
      <c r="G155" s="277"/>
      <c r="H155" s="265">
        <f>SUM(H156:H157)</f>
        <v>774622.46999999858</v>
      </c>
      <c r="I155" s="266"/>
      <c r="J155" s="267">
        <f>J152-L152</f>
        <v>87888577.699027359</v>
      </c>
      <c r="K155" s="268"/>
      <c r="L155" s="267">
        <f>SUM(L156:L157)</f>
        <v>774622.46999999858</v>
      </c>
      <c r="M155" s="269"/>
      <c r="N155" s="8"/>
      <c r="O155" s="5"/>
    </row>
    <row r="156" spans="2:15">
      <c r="B156" s="10"/>
      <c r="C156" s="251" t="s">
        <v>168</v>
      </c>
      <c r="D156" s="252"/>
      <c r="E156" s="252"/>
      <c r="F156" s="252"/>
      <c r="G156" s="253"/>
      <c r="H156" s="108">
        <v>0</v>
      </c>
      <c r="I156" s="67"/>
      <c r="J156" s="66">
        <f>$J$155*H156/$H$155</f>
        <v>0</v>
      </c>
      <c r="K156" s="67"/>
      <c r="L156" s="105">
        <f>H156</f>
        <v>0</v>
      </c>
      <c r="M156" s="8"/>
      <c r="N156" s="8"/>
      <c r="O156" s="5"/>
    </row>
    <row r="157" spans="2:15">
      <c r="B157" s="10"/>
      <c r="C157" s="251" t="s">
        <v>169</v>
      </c>
      <c r="D157" s="252"/>
      <c r="E157" s="252"/>
      <c r="F157" s="252"/>
      <c r="G157" s="253"/>
      <c r="H157" s="109">
        <v>774622.46999999858</v>
      </c>
      <c r="I157" s="67"/>
      <c r="J157" s="77">
        <f>IFERROR($J$155*H157/$H$155,0)</f>
        <v>87888577.699027359</v>
      </c>
      <c r="K157" s="78"/>
      <c r="L157" s="107">
        <f>H157</f>
        <v>774622.46999999858</v>
      </c>
      <c r="M157" s="8"/>
      <c r="N157" s="8"/>
      <c r="O157" s="5"/>
    </row>
    <row r="158" spans="2:15">
      <c r="B158" s="10"/>
      <c r="C158" s="262" t="s">
        <v>170</v>
      </c>
      <c r="D158" s="263"/>
      <c r="E158" s="263"/>
      <c r="F158" s="263"/>
      <c r="G158" s="264"/>
      <c r="H158" s="265">
        <f>SUM(H159:H161)</f>
        <v>3532785.22</v>
      </c>
      <c r="I158" s="266"/>
      <c r="J158" s="267">
        <f>J155-L155</f>
        <v>87113955.229027361</v>
      </c>
      <c r="K158" s="268"/>
      <c r="L158" s="267">
        <f>SUM(L159:L161)</f>
        <v>3532785.22</v>
      </c>
      <c r="M158" s="269"/>
      <c r="N158" s="8"/>
      <c r="O158" s="5"/>
    </row>
    <row r="159" spans="2:15">
      <c r="B159" s="10"/>
      <c r="C159" s="251" t="s">
        <v>171</v>
      </c>
      <c r="D159" s="252"/>
      <c r="E159" s="252"/>
      <c r="F159" s="252"/>
      <c r="G159" s="253"/>
      <c r="H159" s="110">
        <v>3001768.6099999994</v>
      </c>
      <c r="I159" s="111"/>
      <c r="J159" s="66">
        <f>$J$158*H159/$H$158</f>
        <v>74019766.279321</v>
      </c>
      <c r="K159" s="67"/>
      <c r="L159" s="105">
        <f>H159</f>
        <v>3001768.6099999994</v>
      </c>
      <c r="M159" s="8"/>
      <c r="N159" s="8"/>
      <c r="O159" s="5"/>
    </row>
    <row r="160" spans="2:15">
      <c r="B160" s="10"/>
      <c r="C160" s="251" t="s">
        <v>172</v>
      </c>
      <c r="D160" s="252"/>
      <c r="E160" s="252"/>
      <c r="F160" s="252"/>
      <c r="G160" s="253"/>
      <c r="H160" s="104">
        <v>1293.75</v>
      </c>
      <c r="I160" s="111"/>
      <c r="J160" s="66">
        <f>$J$158*H160/$H$158</f>
        <v>31902.216681475515</v>
      </c>
      <c r="K160" s="67"/>
      <c r="L160" s="105">
        <f>H160</f>
        <v>1293.75</v>
      </c>
      <c r="M160" s="8"/>
      <c r="N160" s="8"/>
      <c r="O160" s="5"/>
    </row>
    <row r="161" spans="2:15">
      <c r="B161" s="10"/>
      <c r="C161" s="251" t="s">
        <v>173</v>
      </c>
      <c r="D161" s="252"/>
      <c r="E161" s="252"/>
      <c r="F161" s="252"/>
      <c r="G161" s="253"/>
      <c r="H161" s="112">
        <v>529722.8600000008</v>
      </c>
      <c r="I161" s="113"/>
      <c r="J161" s="77">
        <f>$J$158*H161/$H$158</f>
        <v>13062286.733024884</v>
      </c>
      <c r="K161" s="78"/>
      <c r="L161" s="107">
        <f>H161</f>
        <v>529722.8600000008</v>
      </c>
      <c r="M161" s="114"/>
      <c r="N161" s="8"/>
      <c r="O161" s="5"/>
    </row>
    <row r="162" spans="2:15">
      <c r="B162" s="10"/>
      <c r="C162" s="12" t="s">
        <v>174</v>
      </c>
      <c r="D162" s="13"/>
      <c r="E162" s="13"/>
      <c r="F162" s="13"/>
      <c r="G162" s="22"/>
      <c r="H162" s="254">
        <v>114083.5902657425</v>
      </c>
      <c r="I162" s="255"/>
      <c r="J162" s="238">
        <f>J158-L158</f>
        <v>83581170.009027362</v>
      </c>
      <c r="K162" s="239"/>
      <c r="L162" s="238">
        <f>H162</f>
        <v>114083.5902657425</v>
      </c>
      <c r="M162" s="240"/>
      <c r="N162" s="8"/>
      <c r="O162" s="5"/>
    </row>
    <row r="163" spans="2:15">
      <c r="B163" s="10"/>
      <c r="C163" s="258" t="s">
        <v>175</v>
      </c>
      <c r="D163" s="259"/>
      <c r="E163" s="259"/>
      <c r="F163" s="259"/>
      <c r="G163" s="260"/>
      <c r="H163" s="256">
        <v>0</v>
      </c>
      <c r="I163" s="261"/>
      <c r="J163" s="238">
        <f>J162-L162</f>
        <v>83467086.418761626</v>
      </c>
      <c r="K163" s="239"/>
      <c r="L163" s="238">
        <f>H163</f>
        <v>0</v>
      </c>
      <c r="M163" s="240"/>
      <c r="N163" s="8"/>
      <c r="O163" s="5"/>
    </row>
    <row r="164" spans="2:15">
      <c r="B164" s="10"/>
      <c r="C164" s="262" t="s">
        <v>176</v>
      </c>
      <c r="D164" s="263"/>
      <c r="E164" s="263"/>
      <c r="F164" s="263"/>
      <c r="G164" s="264"/>
      <c r="H164" s="265">
        <f>SUM(H165:H165)</f>
        <v>18812538.764445592</v>
      </c>
      <c r="I164" s="266"/>
      <c r="J164" s="267">
        <f>J163-L163</f>
        <v>83467086.418761626</v>
      </c>
      <c r="K164" s="268"/>
      <c r="L164" s="267">
        <f>SUM(L165:L165)</f>
        <v>18812538.764445592</v>
      </c>
      <c r="M164" s="269"/>
      <c r="N164" s="8"/>
      <c r="O164" s="5"/>
    </row>
    <row r="165" spans="2:15">
      <c r="B165" s="10"/>
      <c r="C165" s="251" t="s">
        <v>177</v>
      </c>
      <c r="D165" s="252"/>
      <c r="E165" s="252"/>
      <c r="F165" s="252"/>
      <c r="G165" s="253"/>
      <c r="H165" s="109">
        <f>J40</f>
        <v>18812538.764445592</v>
      </c>
      <c r="I165" s="111"/>
      <c r="J165" s="77">
        <f>$J$164*H165/$H$164</f>
        <v>83467086.418761626</v>
      </c>
      <c r="K165" s="67"/>
      <c r="L165" s="107">
        <f t="shared" ref="L165:L172" si="7">H165</f>
        <v>18812538.764445592</v>
      </c>
      <c r="M165" s="8"/>
      <c r="N165" s="8"/>
      <c r="O165" s="5"/>
    </row>
    <row r="166" spans="2:15">
      <c r="B166" s="10"/>
      <c r="C166" s="258" t="s">
        <v>178</v>
      </c>
      <c r="D166" s="259"/>
      <c r="E166" s="259"/>
      <c r="F166" s="259"/>
      <c r="G166" s="260"/>
      <c r="H166" s="256">
        <f>K40</f>
        <v>5276026.8493150687</v>
      </c>
      <c r="I166" s="261"/>
      <c r="J166" s="238">
        <f>J164-L164</f>
        <v>64654547.654316038</v>
      </c>
      <c r="K166" s="239"/>
      <c r="L166" s="238">
        <f t="shared" si="7"/>
        <v>5276026.8493150687</v>
      </c>
      <c r="M166" s="240"/>
      <c r="N166" s="8"/>
      <c r="O166" s="5"/>
    </row>
    <row r="167" spans="2:15">
      <c r="B167" s="10"/>
      <c r="C167" s="258" t="s">
        <v>179</v>
      </c>
      <c r="D167" s="259"/>
      <c r="E167" s="259"/>
      <c r="F167" s="259"/>
      <c r="G167" s="260"/>
      <c r="H167" s="256">
        <f>L40</f>
        <v>1732561.6438356168</v>
      </c>
      <c r="I167" s="261"/>
      <c r="J167" s="238">
        <f t="shared" ref="J167:J173" si="8">J166-L166</f>
        <v>59378520.805000968</v>
      </c>
      <c r="K167" s="239"/>
      <c r="L167" s="238">
        <f t="shared" si="7"/>
        <v>1732561.6438356168</v>
      </c>
      <c r="M167" s="240"/>
      <c r="N167" s="8"/>
      <c r="O167" s="5"/>
    </row>
    <row r="168" spans="2:15">
      <c r="B168" s="10"/>
      <c r="C168" s="258" t="s">
        <v>180</v>
      </c>
      <c r="D168" s="259"/>
      <c r="E168" s="259"/>
      <c r="F168" s="259"/>
      <c r="G168" s="260"/>
      <c r="H168" s="256">
        <f>M40</f>
        <v>1613194.5205479453</v>
      </c>
      <c r="I168" s="261"/>
      <c r="J168" s="238">
        <f t="shared" si="8"/>
        <v>57645959.161165349</v>
      </c>
      <c r="K168" s="239"/>
      <c r="L168" s="238">
        <f t="shared" si="7"/>
        <v>1613194.5205479453</v>
      </c>
      <c r="M168" s="240"/>
      <c r="N168" s="8"/>
      <c r="O168" s="5"/>
    </row>
    <row r="169" spans="2:15">
      <c r="B169" s="10"/>
      <c r="C169" s="258" t="s">
        <v>181</v>
      </c>
      <c r="D169" s="259"/>
      <c r="E169" s="259"/>
      <c r="F169" s="259"/>
      <c r="G169" s="260"/>
      <c r="H169" s="256">
        <v>0</v>
      </c>
      <c r="I169" s="261"/>
      <c r="J169" s="238">
        <f t="shared" si="8"/>
        <v>56032764.6406174</v>
      </c>
      <c r="K169" s="239"/>
      <c r="L169" s="238">
        <f t="shared" si="7"/>
        <v>0</v>
      </c>
      <c r="M169" s="240"/>
      <c r="N169" s="8"/>
      <c r="O169" s="5"/>
    </row>
    <row r="170" spans="2:15">
      <c r="B170" s="10"/>
      <c r="C170" s="258" t="s">
        <v>182</v>
      </c>
      <c r="D170" s="259"/>
      <c r="E170" s="259"/>
      <c r="F170" s="259"/>
      <c r="G170" s="260"/>
      <c r="H170" s="256">
        <v>0</v>
      </c>
      <c r="I170" s="261"/>
      <c r="J170" s="238">
        <f t="shared" si="8"/>
        <v>56032764.6406174</v>
      </c>
      <c r="K170" s="239"/>
      <c r="L170" s="238">
        <f t="shared" si="7"/>
        <v>0</v>
      </c>
      <c r="M170" s="240"/>
      <c r="N170" s="8"/>
      <c r="O170" s="5"/>
    </row>
    <row r="171" spans="2:15">
      <c r="B171" s="10"/>
      <c r="C171" s="258" t="s">
        <v>183</v>
      </c>
      <c r="D171" s="259"/>
      <c r="E171" s="259"/>
      <c r="F171" s="259"/>
      <c r="G171" s="260"/>
      <c r="H171" s="256">
        <v>0</v>
      </c>
      <c r="I171" s="261"/>
      <c r="J171" s="238">
        <f t="shared" si="8"/>
        <v>56032764.6406174</v>
      </c>
      <c r="K171" s="239"/>
      <c r="L171" s="238">
        <f t="shared" si="7"/>
        <v>0</v>
      </c>
      <c r="M171" s="240"/>
      <c r="N171" s="8"/>
      <c r="O171" s="5"/>
    </row>
    <row r="172" spans="2:15">
      <c r="B172" s="10"/>
      <c r="C172" s="258" t="s">
        <v>184</v>
      </c>
      <c r="D172" s="259"/>
      <c r="E172" s="259"/>
      <c r="F172" s="259"/>
      <c r="G172" s="260"/>
      <c r="H172" s="256">
        <f>M218</f>
        <v>0</v>
      </c>
      <c r="I172" s="261"/>
      <c r="J172" s="238">
        <f t="shared" si="8"/>
        <v>56032764.6406174</v>
      </c>
      <c r="K172" s="239"/>
      <c r="L172" s="238">
        <f t="shared" si="7"/>
        <v>0</v>
      </c>
      <c r="M172" s="240"/>
      <c r="N172" s="8"/>
      <c r="O172" s="5"/>
    </row>
    <row r="173" spans="2:15">
      <c r="B173" s="10"/>
      <c r="C173" s="262" t="s">
        <v>185</v>
      </c>
      <c r="D173" s="263"/>
      <c r="E173" s="263"/>
      <c r="F173" s="263"/>
      <c r="G173" s="264"/>
      <c r="H173" s="273">
        <f>SUM(H174:H178)</f>
        <v>18475499.003773987</v>
      </c>
      <c r="I173" s="274"/>
      <c r="J173" s="267">
        <f t="shared" si="8"/>
        <v>56032764.6406174</v>
      </c>
      <c r="K173" s="268"/>
      <c r="L173" s="267">
        <f>SUM(L174:L178)</f>
        <v>18475499.003773987</v>
      </c>
      <c r="M173" s="269"/>
      <c r="N173" s="8"/>
      <c r="O173" s="5"/>
    </row>
    <row r="174" spans="2:15">
      <c r="B174" s="10"/>
      <c r="C174" s="251" t="s">
        <v>186</v>
      </c>
      <c r="D174" s="252"/>
      <c r="E174" s="252"/>
      <c r="F174" s="252"/>
      <c r="G174" s="253"/>
      <c r="H174" s="66">
        <v>0</v>
      </c>
      <c r="I174" s="115"/>
      <c r="J174" s="66">
        <f>H174/$H$173*J173</f>
        <v>0</v>
      </c>
      <c r="K174" s="67"/>
      <c r="L174" s="105">
        <f t="shared" ref="L174:L180" si="9">H174</f>
        <v>0</v>
      </c>
      <c r="M174" s="8"/>
      <c r="N174" s="8"/>
      <c r="O174" s="5"/>
    </row>
    <row r="175" spans="2:15">
      <c r="B175" s="10"/>
      <c r="C175" s="251" t="s">
        <v>187</v>
      </c>
      <c r="D175" s="252"/>
      <c r="E175" s="252"/>
      <c r="F175" s="252"/>
      <c r="G175" s="253"/>
      <c r="H175" s="104">
        <f>J106-I43</f>
        <v>18475499.003773987</v>
      </c>
      <c r="I175" s="115"/>
      <c r="J175" s="66">
        <f>H175/H173*J173</f>
        <v>56032764.6406174</v>
      </c>
      <c r="K175" s="67"/>
      <c r="L175" s="105">
        <f t="shared" si="9"/>
        <v>18475499.003773987</v>
      </c>
      <c r="M175" s="8"/>
      <c r="N175" s="8"/>
      <c r="O175" s="5"/>
    </row>
    <row r="176" spans="2:15">
      <c r="B176" s="10"/>
      <c r="C176" s="251" t="s">
        <v>188</v>
      </c>
      <c r="D176" s="252"/>
      <c r="E176" s="252"/>
      <c r="F176" s="252"/>
      <c r="G176" s="253"/>
      <c r="H176" s="104">
        <v>0</v>
      </c>
      <c r="I176" s="115"/>
      <c r="J176" s="66">
        <f>H176/$H$173*J173</f>
        <v>0</v>
      </c>
      <c r="K176" s="67"/>
      <c r="L176" s="105">
        <f t="shared" si="9"/>
        <v>0</v>
      </c>
      <c r="M176" s="8"/>
      <c r="N176" s="8"/>
      <c r="O176" s="5"/>
    </row>
    <row r="177" spans="2:15">
      <c r="B177" s="10"/>
      <c r="C177" s="251" t="s">
        <v>189</v>
      </c>
      <c r="D177" s="252"/>
      <c r="E177" s="252"/>
      <c r="F177" s="252"/>
      <c r="G177" s="253"/>
      <c r="H177" s="104">
        <v>0</v>
      </c>
      <c r="I177" s="115"/>
      <c r="J177" s="66">
        <f>H177/$H$173*J172</f>
        <v>0</v>
      </c>
      <c r="K177" s="67"/>
      <c r="L177" s="105">
        <f t="shared" si="9"/>
        <v>0</v>
      </c>
      <c r="M177" s="8"/>
      <c r="N177" s="8"/>
      <c r="O177" s="5"/>
    </row>
    <row r="178" spans="2:15">
      <c r="B178" s="10"/>
      <c r="C178" s="251" t="s">
        <v>190</v>
      </c>
      <c r="D178" s="252"/>
      <c r="E178" s="252"/>
      <c r="F178" s="252"/>
      <c r="G178" s="253"/>
      <c r="H178" s="106">
        <v>0</v>
      </c>
      <c r="I178" s="113"/>
      <c r="J178" s="77">
        <f>H178/$H$173*J173</f>
        <v>0</v>
      </c>
      <c r="K178" s="78"/>
      <c r="L178" s="107">
        <f t="shared" si="9"/>
        <v>0</v>
      </c>
      <c r="M178" s="114"/>
      <c r="N178" s="8"/>
      <c r="O178" s="5"/>
    </row>
    <row r="179" spans="2:15">
      <c r="B179" s="10"/>
      <c r="C179" s="258" t="s">
        <v>191</v>
      </c>
      <c r="D179" s="259"/>
      <c r="E179" s="259"/>
      <c r="F179" s="259"/>
      <c r="G179" s="260"/>
      <c r="H179" s="256">
        <f>J209</f>
        <v>26901000</v>
      </c>
      <c r="I179" s="261"/>
      <c r="J179" s="238">
        <f>J173-L173</f>
        <v>37557265.636843413</v>
      </c>
      <c r="K179" s="239"/>
      <c r="L179" s="238">
        <f t="shared" si="9"/>
        <v>26901000</v>
      </c>
      <c r="M179" s="240"/>
      <c r="N179" s="8"/>
      <c r="O179" s="5"/>
    </row>
    <row r="180" spans="2:15">
      <c r="B180" s="10"/>
      <c r="C180" s="258" t="s">
        <v>192</v>
      </c>
      <c r="D180" s="259"/>
      <c r="E180" s="259"/>
      <c r="F180" s="259"/>
      <c r="G180" s="260"/>
      <c r="H180" s="256">
        <v>0</v>
      </c>
      <c r="I180" s="261"/>
      <c r="J180" s="238">
        <f>J179-L179</f>
        <v>10656265.636843413</v>
      </c>
      <c r="K180" s="239"/>
      <c r="L180" s="238">
        <f t="shared" si="9"/>
        <v>0</v>
      </c>
      <c r="M180" s="240"/>
      <c r="N180" s="8"/>
      <c r="O180" s="5"/>
    </row>
    <row r="181" spans="2:15">
      <c r="B181" s="10"/>
      <c r="C181" s="262" t="s">
        <v>193</v>
      </c>
      <c r="D181" s="263"/>
      <c r="E181" s="263"/>
      <c r="F181" s="263"/>
      <c r="G181" s="264"/>
      <c r="H181" s="265">
        <f>SUM(H182:H183)</f>
        <v>0</v>
      </c>
      <c r="I181" s="266"/>
      <c r="J181" s="267">
        <f>J180-L180</f>
        <v>10656265.636843413</v>
      </c>
      <c r="K181" s="268"/>
      <c r="L181" s="267">
        <f>SUM(K182:K183)</f>
        <v>0</v>
      </c>
      <c r="M181" s="269"/>
      <c r="N181" s="8"/>
      <c r="O181" s="5"/>
    </row>
    <row r="182" spans="2:15">
      <c r="B182" s="10"/>
      <c r="C182" s="251" t="s">
        <v>188</v>
      </c>
      <c r="D182" s="252"/>
      <c r="E182" s="252"/>
      <c r="F182" s="252"/>
      <c r="G182" s="253"/>
      <c r="H182" s="104">
        <v>0</v>
      </c>
      <c r="I182" s="67"/>
      <c r="J182" s="66">
        <f>IFERROR(H182/$H$181*$J$181,0)</f>
        <v>0</v>
      </c>
      <c r="K182" s="67"/>
      <c r="L182" s="105">
        <f>H182</f>
        <v>0</v>
      </c>
      <c r="M182" s="8"/>
      <c r="N182" s="8"/>
      <c r="O182" s="5"/>
    </row>
    <row r="183" spans="2:15">
      <c r="B183" s="10"/>
      <c r="C183" s="251" t="s">
        <v>189</v>
      </c>
      <c r="D183" s="252"/>
      <c r="E183" s="252"/>
      <c r="F183" s="252"/>
      <c r="G183" s="253"/>
      <c r="H183" s="106">
        <v>0</v>
      </c>
      <c r="I183" s="67"/>
      <c r="J183" s="77">
        <f>IFERROR(H183/$H$181*$J$181,0)</f>
        <v>0</v>
      </c>
      <c r="K183" s="78"/>
      <c r="L183" s="107">
        <f>H183</f>
        <v>0</v>
      </c>
      <c r="M183" s="8"/>
      <c r="N183" s="8"/>
      <c r="O183" s="5"/>
    </row>
    <row r="184" spans="2:15">
      <c r="B184" s="10"/>
      <c r="C184" s="258" t="s">
        <v>194</v>
      </c>
      <c r="D184" s="259"/>
      <c r="E184" s="259"/>
      <c r="F184" s="259"/>
      <c r="G184" s="260"/>
      <c r="H184" s="256">
        <v>0</v>
      </c>
      <c r="I184" s="261"/>
      <c r="J184" s="238">
        <f>J181-L181</f>
        <v>10656265.636843413</v>
      </c>
      <c r="K184" s="239"/>
      <c r="L184" s="238">
        <f>H184</f>
        <v>0</v>
      </c>
      <c r="M184" s="240"/>
      <c r="N184" s="8"/>
      <c r="O184" s="5"/>
    </row>
    <row r="185" spans="2:15">
      <c r="B185" s="10"/>
      <c r="C185" s="258" t="s">
        <v>195</v>
      </c>
      <c r="D185" s="259"/>
      <c r="E185" s="259"/>
      <c r="F185" s="259"/>
      <c r="G185" s="260"/>
      <c r="H185" s="256">
        <v>0</v>
      </c>
      <c r="I185" s="261"/>
      <c r="J185" s="238">
        <f>J184-L184</f>
        <v>10656265.636843413</v>
      </c>
      <c r="K185" s="239"/>
      <c r="L185" s="238">
        <f>H185</f>
        <v>0</v>
      </c>
      <c r="M185" s="240"/>
      <c r="N185" s="8"/>
      <c r="O185" s="5"/>
    </row>
    <row r="186" spans="2:15">
      <c r="B186" s="10"/>
      <c r="C186" s="262" t="s">
        <v>196</v>
      </c>
      <c r="D186" s="263"/>
      <c r="E186" s="263"/>
      <c r="F186" s="263"/>
      <c r="G186" s="264"/>
      <c r="H186" s="265">
        <f>SUM(H187:H188)</f>
        <v>0</v>
      </c>
      <c r="I186" s="266"/>
      <c r="J186" s="267">
        <f>J185-L185</f>
        <v>10656265.636843413</v>
      </c>
      <c r="K186" s="268"/>
      <c r="L186" s="267">
        <f>SUM(L188)</f>
        <v>0</v>
      </c>
      <c r="M186" s="269"/>
      <c r="N186" s="8"/>
      <c r="O186" s="5"/>
    </row>
    <row r="187" spans="2:15">
      <c r="B187" s="10"/>
      <c r="C187" s="251" t="s">
        <v>189</v>
      </c>
      <c r="D187" s="252"/>
      <c r="E187" s="252"/>
      <c r="F187" s="252"/>
      <c r="G187" s="253"/>
      <c r="H187" s="104">
        <v>0</v>
      </c>
      <c r="I187" s="67"/>
      <c r="J187" s="66">
        <f>$J$186*L39/SUM($L$39:$M$39)</f>
        <v>5820649.2974354783</v>
      </c>
      <c r="K187" s="67"/>
      <c r="L187" s="105">
        <f>H187</f>
        <v>0</v>
      </c>
      <c r="M187" s="8"/>
      <c r="N187" s="8"/>
      <c r="O187" s="5"/>
    </row>
    <row r="188" spans="2:15">
      <c r="B188" s="10"/>
      <c r="C188" s="251" t="s">
        <v>190</v>
      </c>
      <c r="D188" s="252"/>
      <c r="E188" s="252"/>
      <c r="F188" s="252"/>
      <c r="G188" s="253"/>
      <c r="H188" s="106">
        <v>0</v>
      </c>
      <c r="I188" s="67"/>
      <c r="J188" s="77">
        <f>$J$186*M39/SUM($L$39:$M$39)</f>
        <v>4835616.3394079348</v>
      </c>
      <c r="K188" s="78"/>
      <c r="L188" s="107">
        <f>H188</f>
        <v>0</v>
      </c>
      <c r="M188" s="8"/>
      <c r="N188" s="8"/>
      <c r="O188" s="5"/>
    </row>
    <row r="189" spans="2:15">
      <c r="B189" s="10"/>
      <c r="C189" s="258" t="s">
        <v>197</v>
      </c>
      <c r="D189" s="259"/>
      <c r="E189" s="259"/>
      <c r="F189" s="259"/>
      <c r="G189" s="260"/>
      <c r="H189" s="256">
        <v>0</v>
      </c>
      <c r="I189" s="261"/>
      <c r="J189" s="238">
        <f>J185-L185</f>
        <v>10656265.636843413</v>
      </c>
      <c r="K189" s="239"/>
      <c r="L189" s="238">
        <f>H189</f>
        <v>0</v>
      </c>
      <c r="M189" s="240"/>
      <c r="N189" s="8"/>
      <c r="O189" s="5"/>
    </row>
    <row r="190" spans="2:15">
      <c r="B190" s="10"/>
      <c r="C190" s="262" t="s">
        <v>198</v>
      </c>
      <c r="D190" s="263"/>
      <c r="E190" s="263"/>
      <c r="F190" s="263"/>
      <c r="G190" s="264"/>
      <c r="H190" s="265">
        <f>SUM(H191:H191)</f>
        <v>0</v>
      </c>
      <c r="I190" s="266"/>
      <c r="J190" s="267">
        <f>J189-L189</f>
        <v>10656265.636843413</v>
      </c>
      <c r="K190" s="268"/>
      <c r="L190" s="267">
        <f>SUM(L191)</f>
        <v>0</v>
      </c>
      <c r="M190" s="269"/>
      <c r="N190" s="8"/>
      <c r="O190" s="5"/>
    </row>
    <row r="191" spans="2:15">
      <c r="B191" s="10"/>
      <c r="C191" s="270" t="s">
        <v>190</v>
      </c>
      <c r="D191" s="271"/>
      <c r="E191" s="271"/>
      <c r="F191" s="271"/>
      <c r="G191" s="272"/>
      <c r="H191" s="106">
        <v>0</v>
      </c>
      <c r="I191" s="67"/>
      <c r="J191" s="77">
        <f>J190</f>
        <v>10656265.636843413</v>
      </c>
      <c r="K191" s="78"/>
      <c r="L191" s="107">
        <f>H191</f>
        <v>0</v>
      </c>
      <c r="M191" s="8"/>
      <c r="N191" s="8"/>
      <c r="O191" s="5"/>
    </row>
    <row r="192" spans="2:15">
      <c r="B192" s="10"/>
      <c r="C192" s="258" t="s">
        <v>199</v>
      </c>
      <c r="D192" s="259"/>
      <c r="E192" s="259"/>
      <c r="F192" s="259"/>
      <c r="G192" s="260"/>
      <c r="H192" s="256">
        <v>0</v>
      </c>
      <c r="I192" s="261"/>
      <c r="J192" s="238">
        <f>J190-L190</f>
        <v>10656265.636843413</v>
      </c>
      <c r="K192" s="239"/>
      <c r="L192" s="238">
        <f>H192</f>
        <v>0</v>
      </c>
      <c r="M192" s="240"/>
      <c r="N192" s="8"/>
      <c r="O192" s="5"/>
    </row>
    <row r="193" spans="2:15">
      <c r="B193" s="10"/>
      <c r="C193" s="258" t="s">
        <v>200</v>
      </c>
      <c r="D193" s="259"/>
      <c r="E193" s="259"/>
      <c r="F193" s="259"/>
      <c r="G193" s="260"/>
      <c r="H193" s="256">
        <v>0</v>
      </c>
      <c r="I193" s="261"/>
      <c r="J193" s="238">
        <f>J192-L192</f>
        <v>10656265.636843413</v>
      </c>
      <c r="K193" s="239"/>
      <c r="L193" s="238">
        <f>H193</f>
        <v>0</v>
      </c>
      <c r="M193" s="240"/>
      <c r="N193" s="8"/>
      <c r="O193" s="5"/>
    </row>
    <row r="194" spans="2:15">
      <c r="B194" s="10"/>
      <c r="C194" s="258" t="s">
        <v>201</v>
      </c>
      <c r="D194" s="259"/>
      <c r="E194" s="259"/>
      <c r="F194" s="259"/>
      <c r="G194" s="260"/>
      <c r="H194" s="256">
        <v>0</v>
      </c>
      <c r="I194" s="261"/>
      <c r="J194" s="238">
        <f>J193-L193</f>
        <v>10656265.636843413</v>
      </c>
      <c r="K194" s="239"/>
      <c r="L194" s="238">
        <f>H194</f>
        <v>0</v>
      </c>
      <c r="M194" s="240"/>
      <c r="N194" s="8"/>
      <c r="O194" s="5"/>
    </row>
    <row r="195" spans="2:15">
      <c r="B195" s="10"/>
      <c r="C195" s="262" t="s">
        <v>202</v>
      </c>
      <c r="D195" s="263"/>
      <c r="E195" s="263"/>
      <c r="F195" s="263"/>
      <c r="G195" s="264"/>
      <c r="H195" s="265">
        <f>SUM(H196:H198)</f>
        <v>4311492.5699565113</v>
      </c>
      <c r="I195" s="266"/>
      <c r="J195" s="267">
        <f>J194-L194</f>
        <v>10656265.636843413</v>
      </c>
      <c r="K195" s="268"/>
      <c r="L195" s="267">
        <f>SUM(L196:L198)</f>
        <v>4311492.5699565113</v>
      </c>
      <c r="M195" s="269"/>
      <c r="N195" s="8"/>
      <c r="O195" s="5"/>
    </row>
    <row r="196" spans="2:15">
      <c r="B196" s="10"/>
      <c r="C196" s="251" t="s">
        <v>203</v>
      </c>
      <c r="D196" s="252"/>
      <c r="E196" s="252"/>
      <c r="F196" s="252"/>
      <c r="G196" s="253"/>
      <c r="H196" s="104">
        <f>J232</f>
        <v>4311492.5699565113</v>
      </c>
      <c r="I196" s="67"/>
      <c r="J196" s="66">
        <f>H196/$H$195*J195</f>
        <v>10656265.636843413</v>
      </c>
      <c r="K196" s="67"/>
      <c r="L196" s="105">
        <f>H196</f>
        <v>4311492.5699565113</v>
      </c>
      <c r="M196" s="8"/>
      <c r="N196" s="8"/>
      <c r="O196" s="5"/>
    </row>
    <row r="197" spans="2:15">
      <c r="B197" s="10"/>
      <c r="C197" s="251" t="s">
        <v>204</v>
      </c>
      <c r="D197" s="252"/>
      <c r="E197" s="252"/>
      <c r="F197" s="252"/>
      <c r="G197" s="253"/>
      <c r="H197" s="104">
        <v>0</v>
      </c>
      <c r="I197" s="67"/>
      <c r="J197" s="66">
        <f>H197/$H$195*J196</f>
        <v>0</v>
      </c>
      <c r="K197" s="67"/>
      <c r="L197" s="105">
        <f>H197</f>
        <v>0</v>
      </c>
      <c r="M197" s="8"/>
      <c r="N197" s="8"/>
      <c r="O197" s="5"/>
    </row>
    <row r="198" spans="2:15">
      <c r="B198" s="10"/>
      <c r="C198" s="251" t="s">
        <v>205</v>
      </c>
      <c r="D198" s="252"/>
      <c r="E198" s="252"/>
      <c r="F198" s="252"/>
      <c r="G198" s="253"/>
      <c r="H198" s="106">
        <v>0</v>
      </c>
      <c r="I198" s="67"/>
      <c r="J198" s="77">
        <f>H198/$H$195*J195</f>
        <v>0</v>
      </c>
      <c r="K198" s="67"/>
      <c r="L198" s="107">
        <f>H198</f>
        <v>0</v>
      </c>
      <c r="M198" s="8"/>
      <c r="N198" s="8"/>
      <c r="O198" s="5"/>
    </row>
    <row r="199" spans="2:15">
      <c r="B199" s="10"/>
      <c r="C199" s="60" t="s">
        <v>206</v>
      </c>
      <c r="D199" s="15"/>
      <c r="E199" s="15"/>
      <c r="F199" s="15"/>
      <c r="G199" s="116"/>
      <c r="H199" s="254">
        <v>6344773.4000000004</v>
      </c>
      <c r="I199" s="255"/>
      <c r="J199" s="256">
        <f>J195-L195</f>
        <v>6344773.0668869019</v>
      </c>
      <c r="K199" s="257"/>
      <c r="L199" s="238">
        <f>H199</f>
        <v>6344773.4000000004</v>
      </c>
      <c r="M199" s="240"/>
      <c r="N199" s="8"/>
      <c r="O199" s="5"/>
    </row>
    <row r="200" spans="2:15" ht="15" thickBot="1">
      <c r="B200" s="10"/>
      <c r="C200" s="60" t="s">
        <v>207</v>
      </c>
      <c r="D200" s="15"/>
      <c r="E200" s="15"/>
      <c r="F200" s="15"/>
      <c r="G200" s="116"/>
      <c r="H200" s="241">
        <v>0</v>
      </c>
      <c r="I200" s="242"/>
      <c r="J200" s="232">
        <f>J199-L199</f>
        <v>-0.33311309851706028</v>
      </c>
      <c r="K200" s="233"/>
      <c r="L200" s="232">
        <f>H200</f>
        <v>0</v>
      </c>
      <c r="M200" s="234"/>
      <c r="N200" s="8"/>
      <c r="O200" s="5"/>
    </row>
    <row r="201" spans="2:15" ht="15" thickBot="1">
      <c r="B201" s="10"/>
      <c r="C201" s="243" t="s">
        <v>208</v>
      </c>
      <c r="D201" s="244"/>
      <c r="E201" s="244"/>
      <c r="F201" s="244"/>
      <c r="G201" s="245"/>
      <c r="H201" s="246">
        <f>SUM(H151,H152,H155,H158,H162,H163,H164,H166:I173,H179:I181,H184:I186,H189:I190,H192:I195,H199:I200)</f>
        <v>89328120.852140471</v>
      </c>
      <c r="I201" s="247"/>
      <c r="J201" s="246">
        <f>J151</f>
        <v>89328120.519027367</v>
      </c>
      <c r="K201" s="248"/>
      <c r="L201" s="249">
        <f>J201</f>
        <v>89328120.519027367</v>
      </c>
      <c r="M201" s="250"/>
      <c r="N201" s="8"/>
      <c r="O201" s="5"/>
    </row>
    <row r="202" spans="2:15" ht="15" thickBot="1">
      <c r="B202" s="10"/>
      <c r="C202" s="88"/>
      <c r="D202" s="5"/>
      <c r="E202" s="5"/>
      <c r="F202" s="5"/>
      <c r="G202" s="5"/>
      <c r="H202" s="46"/>
      <c r="I202" s="5"/>
      <c r="J202" s="5"/>
      <c r="K202" s="5"/>
      <c r="L202" s="5"/>
      <c r="M202" s="5"/>
      <c r="N202" s="8"/>
      <c r="O202" s="5"/>
    </row>
    <row r="203" spans="2:15">
      <c r="B203" s="10"/>
      <c r="C203" s="237" t="s">
        <v>209</v>
      </c>
      <c r="D203" s="235"/>
      <c r="E203" s="235"/>
      <c r="F203" s="235"/>
      <c r="G203" s="235"/>
      <c r="H203" s="235"/>
      <c r="I203" s="235"/>
      <c r="J203" s="235"/>
      <c r="K203" s="235"/>
      <c r="L203" s="235"/>
      <c r="M203" s="236"/>
      <c r="N203" s="8"/>
      <c r="O203" s="5"/>
    </row>
    <row r="204" spans="2:15">
      <c r="B204" s="10"/>
      <c r="C204" s="12" t="s">
        <v>210</v>
      </c>
      <c r="D204" s="117"/>
      <c r="E204" s="117"/>
      <c r="F204" s="117"/>
      <c r="G204" s="117"/>
      <c r="H204" s="117"/>
      <c r="I204" s="118"/>
      <c r="J204" s="238">
        <v>26901000</v>
      </c>
      <c r="K204" s="239"/>
      <c r="L204" s="239"/>
      <c r="M204" s="240"/>
      <c r="N204" s="8"/>
      <c r="O204" s="5"/>
    </row>
    <row r="205" spans="2:15">
      <c r="B205" s="10"/>
      <c r="C205" s="12" t="s">
        <v>211</v>
      </c>
      <c r="D205" s="15"/>
      <c r="E205" s="15"/>
      <c r="F205" s="15"/>
      <c r="G205" s="15"/>
      <c r="H205" s="15"/>
      <c r="I205" s="116"/>
      <c r="J205" s="238">
        <f>J204</f>
        <v>26901000</v>
      </c>
      <c r="K205" s="239"/>
      <c r="L205" s="239"/>
      <c r="M205" s="240"/>
      <c r="N205" s="8"/>
      <c r="O205" s="5"/>
    </row>
    <row r="206" spans="2:15">
      <c r="B206" s="10"/>
      <c r="C206" s="60" t="s">
        <v>212</v>
      </c>
      <c r="D206" s="15"/>
      <c r="E206" s="15"/>
      <c r="F206" s="15"/>
      <c r="G206" s="15"/>
      <c r="H206" s="15"/>
      <c r="I206" s="116"/>
      <c r="J206" s="238">
        <v>26901000</v>
      </c>
      <c r="K206" s="239"/>
      <c r="L206" s="239"/>
      <c r="M206" s="240"/>
      <c r="N206" s="8"/>
      <c r="O206" s="5"/>
    </row>
    <row r="207" spans="2:15">
      <c r="B207" s="10"/>
      <c r="C207" s="60" t="s">
        <v>213</v>
      </c>
      <c r="D207" s="15"/>
      <c r="E207" s="15"/>
      <c r="F207" s="15"/>
      <c r="G207" s="15"/>
      <c r="H207" s="15"/>
      <c r="I207" s="116"/>
      <c r="J207" s="238">
        <v>0</v>
      </c>
      <c r="K207" s="239"/>
      <c r="L207" s="239"/>
      <c r="M207" s="240"/>
      <c r="N207" s="8"/>
      <c r="O207" s="5"/>
    </row>
    <row r="208" spans="2:15">
      <c r="B208" s="10"/>
      <c r="C208" s="60" t="s">
        <v>214</v>
      </c>
      <c r="D208" s="15"/>
      <c r="E208" s="15"/>
      <c r="F208" s="15"/>
      <c r="G208" s="15"/>
      <c r="H208" s="15"/>
      <c r="I208" s="116"/>
      <c r="J208" s="238">
        <v>0</v>
      </c>
      <c r="K208" s="239"/>
      <c r="L208" s="239"/>
      <c r="M208" s="240"/>
      <c r="N208" s="8"/>
      <c r="O208" s="5"/>
    </row>
    <row r="209" spans="2:15" ht="15" thickBot="1">
      <c r="B209" s="10"/>
      <c r="C209" s="119" t="s">
        <v>215</v>
      </c>
      <c r="D209" s="94"/>
      <c r="E209" s="94"/>
      <c r="F209" s="94"/>
      <c r="G209" s="94"/>
      <c r="H209" s="94"/>
      <c r="I209" s="120"/>
      <c r="J209" s="232">
        <f>J206</f>
        <v>26901000</v>
      </c>
      <c r="K209" s="233"/>
      <c r="L209" s="233"/>
      <c r="M209" s="234"/>
      <c r="N209" s="8"/>
      <c r="O209" s="5"/>
    </row>
    <row r="210" spans="2:15" ht="15" thickBot="1">
      <c r="B210" s="10"/>
      <c r="C210" s="88"/>
      <c r="D210" s="5"/>
      <c r="E210" s="5"/>
      <c r="F210" s="5"/>
      <c r="G210" s="5"/>
      <c r="H210" s="46"/>
      <c r="I210" s="5"/>
      <c r="J210" s="5"/>
      <c r="K210" s="5"/>
      <c r="L210" s="5"/>
      <c r="M210" s="5"/>
      <c r="N210" s="8"/>
      <c r="O210" s="5"/>
    </row>
    <row r="211" spans="2:15" ht="15" thickBot="1">
      <c r="B211" s="10"/>
      <c r="C211" s="223" t="s">
        <v>216</v>
      </c>
      <c r="D211" s="224"/>
      <c r="E211" s="224"/>
      <c r="F211" s="224"/>
      <c r="G211" s="224"/>
      <c r="H211" s="224"/>
      <c r="I211" s="224"/>
      <c r="J211" s="235"/>
      <c r="K211" s="235"/>
      <c r="L211" s="235"/>
      <c r="M211" s="236"/>
      <c r="N211" s="8"/>
      <c r="O211" s="5"/>
    </row>
    <row r="212" spans="2:15">
      <c r="B212" s="10"/>
      <c r="C212" s="41" t="s">
        <v>217</v>
      </c>
      <c r="D212" s="121"/>
      <c r="E212" s="121"/>
      <c r="F212" s="121"/>
      <c r="G212" s="121"/>
      <c r="H212" s="121"/>
      <c r="I212" s="122"/>
      <c r="J212" s="219">
        <v>0</v>
      </c>
      <c r="K212" s="219"/>
      <c r="L212" s="219"/>
      <c r="M212" s="220"/>
      <c r="N212" s="8"/>
      <c r="O212" s="5"/>
    </row>
    <row r="213" spans="2:15">
      <c r="B213" s="10"/>
      <c r="C213" s="12" t="s">
        <v>218</v>
      </c>
      <c r="D213" s="117"/>
      <c r="E213" s="117"/>
      <c r="F213" s="117"/>
      <c r="G213" s="117"/>
      <c r="H213" s="117"/>
      <c r="I213" s="118"/>
      <c r="J213" s="219">
        <v>0</v>
      </c>
      <c r="K213" s="219"/>
      <c r="L213" s="219"/>
      <c r="M213" s="220"/>
      <c r="N213" s="8"/>
      <c r="O213" s="5"/>
    </row>
    <row r="214" spans="2:15">
      <c r="B214" s="10"/>
      <c r="C214" s="12" t="s">
        <v>219</v>
      </c>
      <c r="D214" s="117"/>
      <c r="E214" s="117"/>
      <c r="F214" s="117"/>
      <c r="G214" s="117"/>
      <c r="H214" s="117"/>
      <c r="I214" s="118"/>
      <c r="J214" s="219">
        <v>0</v>
      </c>
      <c r="K214" s="219"/>
      <c r="L214" s="219"/>
      <c r="M214" s="220">
        <v>0</v>
      </c>
      <c r="N214" s="8"/>
      <c r="O214" s="5"/>
    </row>
    <row r="215" spans="2:15">
      <c r="B215" s="10"/>
      <c r="C215" s="12" t="s">
        <v>220</v>
      </c>
      <c r="D215" s="117"/>
      <c r="E215" s="117"/>
      <c r="F215" s="117"/>
      <c r="G215" s="117"/>
      <c r="H215" s="117"/>
      <c r="I215" s="118"/>
      <c r="J215" s="219">
        <v>0</v>
      </c>
      <c r="K215" s="219"/>
      <c r="L215" s="219"/>
      <c r="M215" s="220">
        <f>J212+J213-M214</f>
        <v>0</v>
      </c>
      <c r="N215" s="8"/>
      <c r="O215" s="5"/>
    </row>
    <row r="216" spans="2:15">
      <c r="B216" s="10"/>
      <c r="C216" s="12" t="s">
        <v>221</v>
      </c>
      <c r="D216" s="117"/>
      <c r="E216" s="117"/>
      <c r="F216" s="117"/>
      <c r="G216" s="117"/>
      <c r="H216" s="117"/>
      <c r="I216" s="118"/>
      <c r="J216" s="219">
        <v>0</v>
      </c>
      <c r="K216" s="219"/>
      <c r="L216" s="219"/>
      <c r="M216" s="220">
        <v>0</v>
      </c>
      <c r="N216" s="8"/>
      <c r="O216" s="5"/>
    </row>
    <row r="217" spans="2:15">
      <c r="B217" s="10"/>
      <c r="C217" s="12" t="s">
        <v>222</v>
      </c>
      <c r="D217" s="117"/>
      <c r="E217" s="117"/>
      <c r="F217" s="117"/>
      <c r="G217" s="117"/>
      <c r="H217" s="117"/>
      <c r="I217" s="118"/>
      <c r="J217" s="219">
        <v>0</v>
      </c>
      <c r="K217" s="219"/>
      <c r="L217" s="219"/>
      <c r="M217" s="220">
        <v>0</v>
      </c>
      <c r="N217" s="8"/>
      <c r="O217" s="5"/>
    </row>
    <row r="218" spans="2:15" ht="15" thickBot="1">
      <c r="B218" s="10"/>
      <c r="C218" s="123" t="s">
        <v>223</v>
      </c>
      <c r="D218" s="124"/>
      <c r="E218" s="124"/>
      <c r="F218" s="124"/>
      <c r="G218" s="124"/>
      <c r="H218" s="124"/>
      <c r="I218" s="125"/>
      <c r="J218" s="221">
        <v>0</v>
      </c>
      <c r="K218" s="221"/>
      <c r="L218" s="221"/>
      <c r="M218" s="222">
        <f>M215-M216+M217</f>
        <v>0</v>
      </c>
      <c r="N218" s="8"/>
      <c r="O218" s="5"/>
    </row>
    <row r="219" spans="2:15" ht="15" thickBot="1">
      <c r="B219" s="10"/>
      <c r="C219" s="88"/>
      <c r="D219" s="5"/>
      <c r="E219" s="5"/>
      <c r="F219" s="5"/>
      <c r="G219" s="5"/>
      <c r="H219" s="46"/>
      <c r="I219" s="5"/>
      <c r="J219" s="5"/>
      <c r="K219" s="5"/>
      <c r="L219" s="5"/>
      <c r="M219" s="5"/>
      <c r="N219" s="8"/>
      <c r="O219" s="5"/>
    </row>
    <row r="220" spans="2:15" ht="15" thickBot="1">
      <c r="B220" s="10"/>
      <c r="C220" s="223" t="s">
        <v>224</v>
      </c>
      <c r="D220" s="224"/>
      <c r="E220" s="224"/>
      <c r="F220" s="224"/>
      <c r="G220" s="224"/>
      <c r="H220" s="224"/>
      <c r="I220" s="224"/>
      <c r="J220" s="224"/>
      <c r="K220" s="224"/>
      <c r="L220" s="224"/>
      <c r="M220" s="225"/>
      <c r="N220" s="8"/>
      <c r="O220" s="5"/>
    </row>
    <row r="221" spans="2:15">
      <c r="B221" s="10"/>
      <c r="C221" s="126" t="s">
        <v>225</v>
      </c>
      <c r="D221" s="127"/>
      <c r="E221" s="128"/>
      <c r="F221" s="128"/>
      <c r="G221" s="128"/>
      <c r="H221" s="128"/>
      <c r="I221" s="128"/>
      <c r="J221" s="226">
        <f>10%</f>
        <v>0.1</v>
      </c>
      <c r="K221" s="227"/>
      <c r="L221" s="227"/>
      <c r="M221" s="228"/>
      <c r="N221" s="8"/>
      <c r="O221" s="5"/>
    </row>
    <row r="222" spans="2:15">
      <c r="B222" s="10"/>
      <c r="C222" s="60"/>
      <c r="D222" s="61"/>
      <c r="E222" s="61"/>
      <c r="F222" s="61"/>
      <c r="G222" s="129" t="s">
        <v>226</v>
      </c>
      <c r="H222" s="229" t="s">
        <v>227</v>
      </c>
      <c r="I222" s="230"/>
      <c r="J222" s="23" t="s">
        <v>228</v>
      </c>
      <c r="K222" s="116"/>
      <c r="L222" s="229" t="s">
        <v>229</v>
      </c>
      <c r="M222" s="231"/>
      <c r="N222" s="8"/>
      <c r="O222" s="5"/>
    </row>
    <row r="223" spans="2:15">
      <c r="B223" s="10"/>
      <c r="C223" s="131" t="s">
        <v>230</v>
      </c>
      <c r="D223" s="65"/>
      <c r="E223" s="65"/>
      <c r="F223" s="65"/>
      <c r="G223" s="132">
        <f>J14</f>
        <v>46157</v>
      </c>
      <c r="H223" s="216">
        <f>J29</f>
        <v>6.8000000000000005E-2</v>
      </c>
      <c r="I223" s="217"/>
      <c r="J223" s="207">
        <v>99651392.352718234</v>
      </c>
      <c r="K223" s="218"/>
      <c r="L223" s="207">
        <f>J223</f>
        <v>99651392.352718234</v>
      </c>
      <c r="M223" s="209"/>
      <c r="N223" s="8"/>
      <c r="O223" s="5"/>
    </row>
    <row r="224" spans="2:15">
      <c r="B224" s="10"/>
      <c r="C224" s="62" t="s">
        <v>231</v>
      </c>
      <c r="D224" s="133"/>
      <c r="E224" s="133"/>
      <c r="F224" s="133"/>
      <c r="G224" s="134"/>
      <c r="H224" s="210"/>
      <c r="I224" s="211"/>
      <c r="J224" s="212">
        <f>SUM(J225:J227)</f>
        <v>0</v>
      </c>
      <c r="K224" s="213"/>
      <c r="L224" s="214">
        <f>J224</f>
        <v>0</v>
      </c>
      <c r="M224" s="215"/>
      <c r="N224" s="8"/>
      <c r="O224" s="5"/>
    </row>
    <row r="225" spans="2:15">
      <c r="B225" s="10"/>
      <c r="C225" s="64" t="s">
        <v>232</v>
      </c>
      <c r="D225" s="65"/>
      <c r="E225" s="65"/>
      <c r="F225" s="65"/>
      <c r="G225" s="135"/>
      <c r="H225" s="202"/>
      <c r="I225" s="203"/>
      <c r="J225" s="136"/>
      <c r="K225" s="137"/>
      <c r="L225" s="138">
        <f>J225</f>
        <v>0</v>
      </c>
      <c r="M225" s="139"/>
      <c r="N225" s="8"/>
      <c r="O225" s="5"/>
    </row>
    <row r="226" spans="2:15">
      <c r="B226" s="10"/>
      <c r="C226" s="64" t="s">
        <v>233</v>
      </c>
      <c r="D226" s="65"/>
      <c r="E226" s="65"/>
      <c r="F226" s="65"/>
      <c r="G226" s="135"/>
      <c r="H226" s="202"/>
      <c r="I226" s="203"/>
      <c r="J226" s="136"/>
      <c r="K226" s="137"/>
      <c r="L226" s="138"/>
      <c r="M226" s="139"/>
      <c r="N226" s="8"/>
      <c r="O226" s="5"/>
    </row>
    <row r="227" spans="2:15">
      <c r="B227" s="10"/>
      <c r="C227" s="64" t="s">
        <v>234</v>
      </c>
      <c r="D227" s="76"/>
      <c r="E227" s="76"/>
      <c r="F227" s="76"/>
      <c r="G227" s="140"/>
      <c r="H227" s="204"/>
      <c r="I227" s="205"/>
      <c r="J227" s="141"/>
      <c r="K227" s="137"/>
      <c r="L227" s="142"/>
      <c r="M227" s="143"/>
      <c r="N227" s="8"/>
      <c r="O227" s="5"/>
    </row>
    <row r="228" spans="2:15">
      <c r="B228" s="10"/>
      <c r="C228" s="62" t="s">
        <v>235</v>
      </c>
      <c r="D228" s="133"/>
      <c r="E228" s="133"/>
      <c r="F228" s="133"/>
      <c r="G228" s="134"/>
      <c r="H228" s="210"/>
      <c r="I228" s="211"/>
      <c r="J228" s="212">
        <f>SUM(J229:J230)</f>
        <v>0</v>
      </c>
      <c r="K228" s="213"/>
      <c r="L228" s="214">
        <f>J228</f>
        <v>0</v>
      </c>
      <c r="M228" s="215"/>
      <c r="N228" s="8"/>
      <c r="O228" s="5"/>
    </row>
    <row r="229" spans="2:15">
      <c r="B229" s="10"/>
      <c r="C229" s="64" t="s">
        <v>236</v>
      </c>
      <c r="D229" s="65"/>
      <c r="E229" s="65"/>
      <c r="F229" s="65"/>
      <c r="G229" s="144"/>
      <c r="H229" s="202"/>
      <c r="I229" s="203"/>
      <c r="J229" s="136">
        <v>0</v>
      </c>
      <c r="K229" s="137"/>
      <c r="L229" s="138">
        <f>J229</f>
        <v>0</v>
      </c>
      <c r="M229" s="139"/>
      <c r="N229" s="8"/>
      <c r="O229" s="5"/>
    </row>
    <row r="230" spans="2:15">
      <c r="B230" s="10"/>
      <c r="C230" s="64" t="s">
        <v>237</v>
      </c>
      <c r="D230" s="76"/>
      <c r="E230" s="76"/>
      <c r="F230" s="76"/>
      <c r="G230" s="140"/>
      <c r="H230" s="204"/>
      <c r="I230" s="205"/>
      <c r="J230" s="141"/>
      <c r="K230" s="137"/>
      <c r="L230" s="142"/>
      <c r="M230" s="143"/>
      <c r="N230" s="8"/>
      <c r="O230" s="5"/>
    </row>
    <row r="231" spans="2:15">
      <c r="B231" s="10"/>
      <c r="C231" s="62" t="s">
        <v>238</v>
      </c>
      <c r="D231" s="133"/>
      <c r="E231" s="206"/>
      <c r="F231" s="206"/>
      <c r="G231" s="146"/>
      <c r="H231" s="147"/>
      <c r="I231" s="148"/>
      <c r="J231" s="207">
        <f>L223+L224-L228</f>
        <v>99651392.352718234</v>
      </c>
      <c r="K231" s="208"/>
      <c r="L231" s="208"/>
      <c r="M231" s="209"/>
      <c r="N231" s="45"/>
      <c r="O231" s="46"/>
    </row>
    <row r="232" spans="2:15">
      <c r="B232" s="10"/>
      <c r="C232" s="36" t="s">
        <v>239</v>
      </c>
      <c r="D232" s="149"/>
      <c r="E232" s="149"/>
      <c r="F232" s="149"/>
      <c r="G232" s="149"/>
      <c r="H232" s="149"/>
      <c r="I232" s="150"/>
      <c r="J232" s="196">
        <f>(L223-L228)*(H223+J221)*($J$16)/365</f>
        <v>4311492.5699565113</v>
      </c>
      <c r="K232" s="197"/>
      <c r="L232" s="197"/>
      <c r="M232" s="198"/>
      <c r="N232" s="8"/>
      <c r="O232" s="5"/>
    </row>
    <row r="233" spans="2:15">
      <c r="B233" s="10"/>
      <c r="C233" s="36" t="s">
        <v>240</v>
      </c>
      <c r="D233" s="149"/>
      <c r="E233" s="149"/>
      <c r="F233" s="149"/>
      <c r="G233" s="149"/>
      <c r="H233" s="149"/>
      <c r="I233" s="150"/>
      <c r="J233" s="196">
        <v>0</v>
      </c>
      <c r="K233" s="197"/>
      <c r="L233" s="197"/>
      <c r="M233" s="198"/>
      <c r="N233" s="8"/>
      <c r="O233" s="5"/>
    </row>
    <row r="234" spans="2:15">
      <c r="B234" s="10"/>
      <c r="C234" s="12" t="s">
        <v>241</v>
      </c>
      <c r="D234" s="117"/>
      <c r="E234" s="117"/>
      <c r="F234" s="117"/>
      <c r="G234" s="117"/>
      <c r="H234" s="117"/>
      <c r="I234" s="118"/>
      <c r="J234" s="196">
        <f>L196</f>
        <v>4311492.5699565113</v>
      </c>
      <c r="K234" s="197"/>
      <c r="L234" s="197"/>
      <c r="M234" s="198"/>
      <c r="N234" s="8"/>
      <c r="O234" s="5"/>
    </row>
    <row r="235" spans="2:15">
      <c r="B235" s="10"/>
      <c r="C235" s="12" t="s">
        <v>242</v>
      </c>
      <c r="D235" s="117"/>
      <c r="E235" s="117"/>
      <c r="F235" s="117"/>
      <c r="G235" s="117"/>
      <c r="H235" s="117"/>
      <c r="I235" s="118"/>
      <c r="J235" s="196">
        <f>J232-J234</f>
        <v>0</v>
      </c>
      <c r="K235" s="197"/>
      <c r="L235" s="197"/>
      <c r="M235" s="198"/>
      <c r="N235" s="8"/>
      <c r="O235" s="5"/>
    </row>
    <row r="236" spans="2:15">
      <c r="B236" s="10"/>
      <c r="C236" s="12" t="s">
        <v>243</v>
      </c>
      <c r="D236" s="117"/>
      <c r="E236" s="117"/>
      <c r="F236" s="117"/>
      <c r="G236" s="117"/>
      <c r="H236" s="117"/>
      <c r="I236" s="118"/>
      <c r="J236" s="196">
        <f>H197</f>
        <v>0</v>
      </c>
      <c r="K236" s="197"/>
      <c r="L236" s="197"/>
      <c r="M236" s="198"/>
      <c r="N236" s="8"/>
      <c r="O236" s="5"/>
    </row>
    <row r="237" spans="2:15">
      <c r="B237" s="10"/>
      <c r="C237" s="12" t="s">
        <v>244</v>
      </c>
      <c r="D237" s="117"/>
      <c r="E237" s="117"/>
      <c r="F237" s="117"/>
      <c r="G237" s="117"/>
      <c r="H237" s="117"/>
      <c r="I237" s="118"/>
      <c r="J237" s="196">
        <v>0</v>
      </c>
      <c r="K237" s="197"/>
      <c r="L237" s="197"/>
      <c r="M237" s="198"/>
      <c r="N237" s="8"/>
      <c r="O237" s="5"/>
    </row>
    <row r="238" spans="2:15" ht="15" thickBot="1">
      <c r="B238" s="10"/>
      <c r="C238" s="93" t="s">
        <v>245</v>
      </c>
      <c r="D238" s="151"/>
      <c r="E238" s="151"/>
      <c r="F238" s="151"/>
      <c r="G238" s="151"/>
      <c r="H238" s="151"/>
      <c r="I238" s="152"/>
      <c r="J238" s="199">
        <f>J231+J235-J236</f>
        <v>99651392.352718234</v>
      </c>
      <c r="K238" s="200"/>
      <c r="L238" s="200"/>
      <c r="M238" s="201"/>
      <c r="N238" s="8"/>
      <c r="O238" s="5"/>
    </row>
    <row r="239" spans="2:15" ht="15" thickBot="1">
      <c r="B239" s="153"/>
      <c r="C239" s="154"/>
      <c r="D239" s="154"/>
      <c r="E239" s="154"/>
      <c r="F239" s="154"/>
      <c r="G239" s="154"/>
      <c r="H239" s="154"/>
      <c r="I239" s="154"/>
      <c r="J239" s="154"/>
      <c r="K239" s="154"/>
      <c r="L239" s="154"/>
      <c r="M239" s="154"/>
      <c r="N239" s="71"/>
      <c r="O239" s="5"/>
    </row>
  </sheetData>
  <mergeCells count="339">
    <mergeCell ref="C3:M4"/>
    <mergeCell ref="C6:M6"/>
    <mergeCell ref="C8:I8"/>
    <mergeCell ref="J8:M8"/>
    <mergeCell ref="C9:I9"/>
    <mergeCell ref="J9:M9"/>
    <mergeCell ref="C14:G15"/>
    <mergeCell ref="J14:M14"/>
    <mergeCell ref="J15:M15"/>
    <mergeCell ref="C16:I16"/>
    <mergeCell ref="J16:M16"/>
    <mergeCell ref="C17:I17"/>
    <mergeCell ref="J17:M17"/>
    <mergeCell ref="C10:G11"/>
    <mergeCell ref="J10:M10"/>
    <mergeCell ref="J11:M11"/>
    <mergeCell ref="C12:I12"/>
    <mergeCell ref="J12:M12"/>
    <mergeCell ref="C13:G13"/>
    <mergeCell ref="J13:M13"/>
    <mergeCell ref="C23:I23"/>
    <mergeCell ref="C24:I24"/>
    <mergeCell ref="C25:I25"/>
    <mergeCell ref="C26:I26"/>
    <mergeCell ref="C27:I27"/>
    <mergeCell ref="C28:I28"/>
    <mergeCell ref="C18:I18"/>
    <mergeCell ref="J18:M18"/>
    <mergeCell ref="C19:I19"/>
    <mergeCell ref="J19:M19"/>
    <mergeCell ref="C20:I20"/>
    <mergeCell ref="J20:M20"/>
    <mergeCell ref="C35:I35"/>
    <mergeCell ref="C36:I36"/>
    <mergeCell ref="C37:I37"/>
    <mergeCell ref="C38:I38"/>
    <mergeCell ref="C39:I39"/>
    <mergeCell ref="C40:I40"/>
    <mergeCell ref="C29:I29"/>
    <mergeCell ref="C30:I30"/>
    <mergeCell ref="C31:I31"/>
    <mergeCell ref="C32:I32"/>
    <mergeCell ref="C33:I33"/>
    <mergeCell ref="C34:I34"/>
    <mergeCell ref="C47:I47"/>
    <mergeCell ref="C48:I48"/>
    <mergeCell ref="C49:I49"/>
    <mergeCell ref="C50:I50"/>
    <mergeCell ref="C51:I51"/>
    <mergeCell ref="C52:I52"/>
    <mergeCell ref="C41:I41"/>
    <mergeCell ref="C42:I42"/>
    <mergeCell ref="C43:I43"/>
    <mergeCell ref="C44:I44"/>
    <mergeCell ref="C45:I45"/>
    <mergeCell ref="C46:I46"/>
    <mergeCell ref="J60:L60"/>
    <mergeCell ref="J61:L61"/>
    <mergeCell ref="J62:L62"/>
    <mergeCell ref="C63:M63"/>
    <mergeCell ref="J64:M64"/>
    <mergeCell ref="J65:L65"/>
    <mergeCell ref="C53:I53"/>
    <mergeCell ref="C55:M55"/>
    <mergeCell ref="C56:M56"/>
    <mergeCell ref="J57:M57"/>
    <mergeCell ref="J58:M58"/>
    <mergeCell ref="J59:M59"/>
    <mergeCell ref="J72:L72"/>
    <mergeCell ref="J73:L73"/>
    <mergeCell ref="J74:K74"/>
    <mergeCell ref="J75:K75"/>
    <mergeCell ref="J76:L76"/>
    <mergeCell ref="J77:K77"/>
    <mergeCell ref="J66:L66"/>
    <mergeCell ref="J67:M67"/>
    <mergeCell ref="J68:L68"/>
    <mergeCell ref="J69:L69"/>
    <mergeCell ref="J70:M70"/>
    <mergeCell ref="J71:L71"/>
    <mergeCell ref="J84:L84"/>
    <mergeCell ref="J85:M85"/>
    <mergeCell ref="C86:M86"/>
    <mergeCell ref="J87:M87"/>
    <mergeCell ref="J88:L88"/>
    <mergeCell ref="J89:L89"/>
    <mergeCell ref="J78:K78"/>
    <mergeCell ref="J79:L79"/>
    <mergeCell ref="J80:K80"/>
    <mergeCell ref="J81:K81"/>
    <mergeCell ref="J82:L82"/>
    <mergeCell ref="J83:L83"/>
    <mergeCell ref="J96:L96"/>
    <mergeCell ref="J97:L97"/>
    <mergeCell ref="C98:M98"/>
    <mergeCell ref="J99:M99"/>
    <mergeCell ref="J100:L100"/>
    <mergeCell ref="J101:L101"/>
    <mergeCell ref="J90:L90"/>
    <mergeCell ref="J91:K91"/>
    <mergeCell ref="J92:K92"/>
    <mergeCell ref="J93:K93"/>
    <mergeCell ref="J94:L94"/>
    <mergeCell ref="J95:L95"/>
    <mergeCell ref="J109:L109"/>
    <mergeCell ref="J110:L110"/>
    <mergeCell ref="J111:L111"/>
    <mergeCell ref="J112:L112"/>
    <mergeCell ref="C114:M114"/>
    <mergeCell ref="J115:M115"/>
    <mergeCell ref="J102:L102"/>
    <mergeCell ref="J103:L103"/>
    <mergeCell ref="C105:M105"/>
    <mergeCell ref="J106:M106"/>
    <mergeCell ref="J107:L107"/>
    <mergeCell ref="J108:L108"/>
    <mergeCell ref="F121:G121"/>
    <mergeCell ref="H121:I121"/>
    <mergeCell ref="J121:K121"/>
    <mergeCell ref="L121:M121"/>
    <mergeCell ref="F122:G122"/>
    <mergeCell ref="H122:I122"/>
    <mergeCell ref="J122:K122"/>
    <mergeCell ref="L122:M122"/>
    <mergeCell ref="J116:M116"/>
    <mergeCell ref="J117:M117"/>
    <mergeCell ref="C119:M119"/>
    <mergeCell ref="F120:G120"/>
    <mergeCell ref="H120:I120"/>
    <mergeCell ref="J120:K120"/>
    <mergeCell ref="L120:M120"/>
    <mergeCell ref="J130:L130"/>
    <mergeCell ref="J131:L131"/>
    <mergeCell ref="J132:L132"/>
    <mergeCell ref="J133:L133"/>
    <mergeCell ref="J134:L134"/>
    <mergeCell ref="J135:L135"/>
    <mergeCell ref="C124:M124"/>
    <mergeCell ref="J125:L125"/>
    <mergeCell ref="J126:L126"/>
    <mergeCell ref="J127:L127"/>
    <mergeCell ref="J128:M128"/>
    <mergeCell ref="J129:L129"/>
    <mergeCell ref="J142:L142"/>
    <mergeCell ref="J143:L143"/>
    <mergeCell ref="J144:L144"/>
    <mergeCell ref="J145:L145"/>
    <mergeCell ref="J146:M146"/>
    <mergeCell ref="J147:M147"/>
    <mergeCell ref="J136:L136"/>
    <mergeCell ref="J137:M137"/>
    <mergeCell ref="J138:L138"/>
    <mergeCell ref="J139:L139"/>
    <mergeCell ref="J140:L140"/>
    <mergeCell ref="J141:L141"/>
    <mergeCell ref="C149:M149"/>
    <mergeCell ref="C150:G150"/>
    <mergeCell ref="H150:I150"/>
    <mergeCell ref="J150:K150"/>
    <mergeCell ref="L150:M150"/>
    <mergeCell ref="C151:G151"/>
    <mergeCell ref="H151:I151"/>
    <mergeCell ref="J151:K151"/>
    <mergeCell ref="L151:M151"/>
    <mergeCell ref="L155:M155"/>
    <mergeCell ref="C156:G156"/>
    <mergeCell ref="C157:G157"/>
    <mergeCell ref="C158:G158"/>
    <mergeCell ref="H158:I158"/>
    <mergeCell ref="J158:K158"/>
    <mergeCell ref="L158:M158"/>
    <mergeCell ref="C152:G152"/>
    <mergeCell ref="H152:I152"/>
    <mergeCell ref="J152:K152"/>
    <mergeCell ref="C153:G153"/>
    <mergeCell ref="C154:G154"/>
    <mergeCell ref="C155:G155"/>
    <mergeCell ref="H155:I155"/>
    <mergeCell ref="J155:K155"/>
    <mergeCell ref="C163:G163"/>
    <mergeCell ref="H163:I163"/>
    <mergeCell ref="J163:K163"/>
    <mergeCell ref="L163:M163"/>
    <mergeCell ref="C164:G164"/>
    <mergeCell ref="H164:I164"/>
    <mergeCell ref="J164:K164"/>
    <mergeCell ref="L164:M164"/>
    <mergeCell ref="C159:G159"/>
    <mergeCell ref="C160:G160"/>
    <mergeCell ref="C161:G161"/>
    <mergeCell ref="H162:I162"/>
    <mergeCell ref="J162:K162"/>
    <mergeCell ref="L162:M162"/>
    <mergeCell ref="C168:G168"/>
    <mergeCell ref="H168:I168"/>
    <mergeCell ref="J168:K168"/>
    <mergeCell ref="L168:M168"/>
    <mergeCell ref="C169:G169"/>
    <mergeCell ref="H169:I169"/>
    <mergeCell ref="J169:K169"/>
    <mergeCell ref="L169:M169"/>
    <mergeCell ref="C165:G165"/>
    <mergeCell ref="C166:G166"/>
    <mergeCell ref="H166:I166"/>
    <mergeCell ref="J166:K166"/>
    <mergeCell ref="L166:M166"/>
    <mergeCell ref="C167:G167"/>
    <mergeCell ref="H167:I167"/>
    <mergeCell ref="J167:K167"/>
    <mergeCell ref="L167:M167"/>
    <mergeCell ref="C172:G172"/>
    <mergeCell ref="H172:I172"/>
    <mergeCell ref="J172:K172"/>
    <mergeCell ref="L172:M172"/>
    <mergeCell ref="C173:G173"/>
    <mergeCell ref="H173:I173"/>
    <mergeCell ref="J173:K173"/>
    <mergeCell ref="L173:M173"/>
    <mergeCell ref="C170:G170"/>
    <mergeCell ref="H170:I170"/>
    <mergeCell ref="J170:K170"/>
    <mergeCell ref="L170:M170"/>
    <mergeCell ref="C171:G171"/>
    <mergeCell ref="H171:I171"/>
    <mergeCell ref="J171:K171"/>
    <mergeCell ref="L171:M171"/>
    <mergeCell ref="H179:I179"/>
    <mergeCell ref="J179:K179"/>
    <mergeCell ref="L179:M179"/>
    <mergeCell ref="C180:G180"/>
    <mergeCell ref="H180:I180"/>
    <mergeCell ref="J180:K180"/>
    <mergeCell ref="L180:M180"/>
    <mergeCell ref="C174:G174"/>
    <mergeCell ref="C175:G175"/>
    <mergeCell ref="C176:G176"/>
    <mergeCell ref="C177:G177"/>
    <mergeCell ref="C178:G178"/>
    <mergeCell ref="C179:G179"/>
    <mergeCell ref="C184:G184"/>
    <mergeCell ref="H184:I184"/>
    <mergeCell ref="J184:K184"/>
    <mergeCell ref="L184:M184"/>
    <mergeCell ref="C185:G185"/>
    <mergeCell ref="H185:I185"/>
    <mergeCell ref="J185:K185"/>
    <mergeCell ref="L185:M185"/>
    <mergeCell ref="C181:G181"/>
    <mergeCell ref="H181:I181"/>
    <mergeCell ref="J181:K181"/>
    <mergeCell ref="L181:M181"/>
    <mergeCell ref="C182:G182"/>
    <mergeCell ref="C183:G183"/>
    <mergeCell ref="C189:G189"/>
    <mergeCell ref="H189:I189"/>
    <mergeCell ref="J189:K189"/>
    <mergeCell ref="L189:M189"/>
    <mergeCell ref="C190:G190"/>
    <mergeCell ref="H190:I190"/>
    <mergeCell ref="J190:K190"/>
    <mergeCell ref="L190:M190"/>
    <mergeCell ref="C186:G186"/>
    <mergeCell ref="H186:I186"/>
    <mergeCell ref="J186:K186"/>
    <mergeCell ref="L186:M186"/>
    <mergeCell ref="C187:G187"/>
    <mergeCell ref="C188:G188"/>
    <mergeCell ref="C191:G191"/>
    <mergeCell ref="C192:G192"/>
    <mergeCell ref="H192:I192"/>
    <mergeCell ref="J192:K192"/>
    <mergeCell ref="L192:M192"/>
    <mergeCell ref="C193:G193"/>
    <mergeCell ref="H193:I193"/>
    <mergeCell ref="J193:K193"/>
    <mergeCell ref="L193:M193"/>
    <mergeCell ref="C196:G196"/>
    <mergeCell ref="C197:G197"/>
    <mergeCell ref="C198:G198"/>
    <mergeCell ref="H199:I199"/>
    <mergeCell ref="J199:K199"/>
    <mergeCell ref="L199:M199"/>
    <mergeCell ref="C194:G194"/>
    <mergeCell ref="H194:I194"/>
    <mergeCell ref="J194:K194"/>
    <mergeCell ref="L194:M194"/>
    <mergeCell ref="C195:G195"/>
    <mergeCell ref="H195:I195"/>
    <mergeCell ref="J195:K195"/>
    <mergeCell ref="L195:M195"/>
    <mergeCell ref="C203:M203"/>
    <mergeCell ref="J204:M204"/>
    <mergeCell ref="J205:M205"/>
    <mergeCell ref="J206:M206"/>
    <mergeCell ref="J207:M207"/>
    <mergeCell ref="J208:M208"/>
    <mergeCell ref="H200:I200"/>
    <mergeCell ref="J200:K200"/>
    <mergeCell ref="L200:M200"/>
    <mergeCell ref="C201:G201"/>
    <mergeCell ref="H201:I201"/>
    <mergeCell ref="J201:K201"/>
    <mergeCell ref="L201:M201"/>
    <mergeCell ref="J216:M216"/>
    <mergeCell ref="J217:M217"/>
    <mergeCell ref="J218:M218"/>
    <mergeCell ref="C220:M220"/>
    <mergeCell ref="J221:M221"/>
    <mergeCell ref="H222:I222"/>
    <mergeCell ref="L222:M222"/>
    <mergeCell ref="J209:M209"/>
    <mergeCell ref="C211:M211"/>
    <mergeCell ref="J212:M212"/>
    <mergeCell ref="J213:M213"/>
    <mergeCell ref="J214:M214"/>
    <mergeCell ref="J215:M215"/>
    <mergeCell ref="H225:I225"/>
    <mergeCell ref="H226:I226"/>
    <mergeCell ref="H227:I227"/>
    <mergeCell ref="H228:I228"/>
    <mergeCell ref="J228:K228"/>
    <mergeCell ref="L228:M228"/>
    <mergeCell ref="H223:I223"/>
    <mergeCell ref="J223:K223"/>
    <mergeCell ref="L223:M223"/>
    <mergeCell ref="H224:I224"/>
    <mergeCell ref="J224:K224"/>
    <mergeCell ref="L224:M224"/>
    <mergeCell ref="J234:M234"/>
    <mergeCell ref="J235:M235"/>
    <mergeCell ref="J236:M236"/>
    <mergeCell ref="J237:M237"/>
    <mergeCell ref="J238:M238"/>
    <mergeCell ref="H229:I229"/>
    <mergeCell ref="H230:I230"/>
    <mergeCell ref="E231:F231"/>
    <mergeCell ref="J231:M231"/>
    <mergeCell ref="J232:M232"/>
    <mergeCell ref="J233:M23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7146-5F24-4D86-804D-69436C035D5A}">
  <dimension ref="B1:N127"/>
  <sheetViews>
    <sheetView showGridLines="0" view="pageBreakPreview" zoomScale="90" zoomScaleNormal="90" zoomScaleSheetLayoutView="90" workbookViewId="0">
      <selection activeCell="C3" sqref="C3:N4"/>
    </sheetView>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4" width="10.44140625" style="1" customWidth="1"/>
    <col min="15" max="16384" width="9.33203125" style="1"/>
  </cols>
  <sheetData>
    <row r="1" spans="2:14" ht="15" thickBot="1"/>
    <row r="2" spans="2:14" ht="15" thickBot="1">
      <c r="B2" s="6"/>
      <c r="C2" s="7"/>
      <c r="D2" s="7"/>
      <c r="E2" s="7"/>
      <c r="F2" s="7"/>
      <c r="G2" s="7"/>
      <c r="H2" s="7"/>
      <c r="I2" s="7"/>
      <c r="J2" s="7"/>
      <c r="K2" s="7"/>
      <c r="L2" s="7"/>
      <c r="M2" s="7"/>
      <c r="N2" s="7"/>
    </row>
    <row r="3" spans="2:14" ht="20.25" customHeight="1">
      <c r="B3" s="10"/>
      <c r="C3" s="396" t="s">
        <v>0</v>
      </c>
      <c r="D3" s="534"/>
      <c r="E3" s="534"/>
      <c r="F3" s="534"/>
      <c r="G3" s="534"/>
      <c r="H3" s="534"/>
      <c r="I3" s="534"/>
      <c r="J3" s="534"/>
      <c r="K3" s="534"/>
      <c r="L3" s="534"/>
      <c r="M3" s="534"/>
      <c r="N3" s="535"/>
    </row>
    <row r="4" spans="2:14" ht="20.25" customHeight="1" thickBot="1">
      <c r="B4" s="10"/>
      <c r="C4" s="536"/>
      <c r="D4" s="537"/>
      <c r="E4" s="537"/>
      <c r="F4" s="537"/>
      <c r="G4" s="537"/>
      <c r="H4" s="537"/>
      <c r="I4" s="537"/>
      <c r="J4" s="537"/>
      <c r="K4" s="537"/>
      <c r="L4" s="537"/>
      <c r="M4" s="537"/>
      <c r="N4" s="538"/>
    </row>
    <row r="5" spans="2:14" ht="15" thickBot="1">
      <c r="B5" s="10"/>
      <c r="C5" s="5"/>
      <c r="D5" s="5"/>
      <c r="E5" s="5"/>
      <c r="F5" s="5"/>
      <c r="G5" s="5"/>
      <c r="H5" s="5"/>
      <c r="I5" s="5"/>
      <c r="J5" s="5"/>
      <c r="K5" s="5"/>
      <c r="L5" s="5"/>
      <c r="M5" s="5"/>
      <c r="N5" s="5"/>
    </row>
    <row r="6" spans="2:14" ht="15" thickBot="1">
      <c r="B6" s="10"/>
      <c r="C6" s="402" t="s">
        <v>246</v>
      </c>
      <c r="D6" s="403"/>
      <c r="E6" s="403"/>
      <c r="F6" s="403"/>
      <c r="G6" s="403"/>
      <c r="H6" s="403"/>
      <c r="I6" s="403"/>
      <c r="J6" s="403"/>
      <c r="K6" s="403"/>
      <c r="L6" s="403"/>
      <c r="M6" s="403"/>
      <c r="N6" s="404"/>
    </row>
    <row r="7" spans="2:14" ht="15" thickBot="1">
      <c r="B7" s="10"/>
      <c r="C7" s="5"/>
      <c r="D7" s="5"/>
      <c r="E7" s="5"/>
      <c r="F7" s="5"/>
      <c r="G7" s="5"/>
      <c r="H7" s="5"/>
      <c r="I7" s="5"/>
      <c r="J7" s="5"/>
      <c r="K7" s="5"/>
      <c r="L7" s="5"/>
      <c r="M7" s="5"/>
      <c r="N7" s="5"/>
    </row>
    <row r="8" spans="2:14">
      <c r="B8" s="10"/>
      <c r="C8" s="155" t="s">
        <v>247</v>
      </c>
      <c r="D8" s="127"/>
      <c r="E8" s="127"/>
      <c r="F8" s="127"/>
      <c r="G8" s="127"/>
      <c r="H8" s="127"/>
      <c r="I8" s="156"/>
      <c r="J8" s="539">
        <v>46244</v>
      </c>
      <c r="K8" s="539"/>
      <c r="L8" s="539"/>
      <c r="M8" s="539"/>
      <c r="N8" s="540"/>
    </row>
    <row r="9" spans="2:14">
      <c r="B9" s="10"/>
      <c r="C9" s="131" t="s">
        <v>248</v>
      </c>
      <c r="D9" s="92"/>
      <c r="E9" s="92"/>
      <c r="F9" s="92"/>
      <c r="G9" s="92"/>
      <c r="H9" s="92"/>
      <c r="I9" s="157"/>
      <c r="J9" s="390">
        <v>46234</v>
      </c>
      <c r="K9" s="390"/>
      <c r="L9" s="390"/>
      <c r="M9" s="390"/>
      <c r="N9" s="391"/>
    </row>
    <row r="10" spans="2:14">
      <c r="B10" s="10"/>
      <c r="C10" s="384" t="s">
        <v>4</v>
      </c>
      <c r="D10" s="385"/>
      <c r="E10" s="386"/>
      <c r="F10" s="23" t="s">
        <v>249</v>
      </c>
      <c r="G10" s="92"/>
      <c r="H10" s="92"/>
      <c r="I10" s="157"/>
      <c r="J10" s="390">
        <v>46142</v>
      </c>
      <c r="K10" s="390"/>
      <c r="L10" s="390"/>
      <c r="M10" s="390"/>
      <c r="N10" s="391"/>
    </row>
    <row r="11" spans="2:14">
      <c r="B11" s="10"/>
      <c r="C11" s="387"/>
      <c r="D11" s="388"/>
      <c r="E11" s="541"/>
      <c r="F11" s="158" t="s">
        <v>250</v>
      </c>
      <c r="G11" s="92"/>
      <c r="H11" s="92"/>
      <c r="I11" s="157"/>
      <c r="J11" s="390">
        <f>J9</f>
        <v>46234</v>
      </c>
      <c r="K11" s="390"/>
      <c r="L11" s="390"/>
      <c r="M11" s="390"/>
      <c r="N11" s="391"/>
    </row>
    <row r="12" spans="2:14">
      <c r="B12" s="10"/>
      <c r="C12" s="159" t="s">
        <v>251</v>
      </c>
      <c r="D12" s="160"/>
      <c r="E12" s="16"/>
      <c r="F12" s="15"/>
      <c r="G12" s="92"/>
      <c r="H12" s="92"/>
      <c r="I12" s="157"/>
      <c r="J12" s="392">
        <f>J11-J10</f>
        <v>92</v>
      </c>
      <c r="K12" s="392"/>
      <c r="L12" s="392"/>
      <c r="M12" s="392"/>
      <c r="N12" s="393"/>
    </row>
    <row r="13" spans="2:14">
      <c r="B13" s="10"/>
      <c r="C13" s="384" t="s">
        <v>252</v>
      </c>
      <c r="D13" s="385"/>
      <c r="E13" s="386"/>
      <c r="F13" s="23" t="s">
        <v>253</v>
      </c>
      <c r="G13" s="15"/>
      <c r="H13" s="15"/>
      <c r="I13" s="116"/>
      <c r="J13" s="530" t="s">
        <v>40</v>
      </c>
      <c r="K13" s="530"/>
      <c r="L13" s="530"/>
      <c r="M13" s="530"/>
      <c r="N13" s="531"/>
    </row>
    <row r="14" spans="2:14">
      <c r="B14" s="10"/>
      <c r="C14" s="387"/>
      <c r="D14" s="388"/>
      <c r="E14" s="389"/>
      <c r="F14" s="23" t="s">
        <v>254</v>
      </c>
      <c r="G14" s="15"/>
      <c r="H14" s="15"/>
      <c r="I14" s="116"/>
      <c r="J14" s="530" t="s">
        <v>40</v>
      </c>
      <c r="K14" s="530"/>
      <c r="L14" s="530"/>
      <c r="M14" s="530"/>
      <c r="N14" s="531"/>
    </row>
    <row r="15" spans="2:14">
      <c r="B15" s="10"/>
      <c r="C15" s="17" t="s">
        <v>255</v>
      </c>
      <c r="D15" s="18"/>
      <c r="E15" s="18"/>
      <c r="F15" s="15"/>
      <c r="G15" s="15"/>
      <c r="H15" s="15"/>
      <c r="I15" s="116"/>
      <c r="J15" s="390">
        <v>52366</v>
      </c>
      <c r="K15" s="390"/>
      <c r="L15" s="390"/>
      <c r="M15" s="390"/>
      <c r="N15" s="391"/>
    </row>
    <row r="16" spans="2:14">
      <c r="B16" s="10"/>
      <c r="C16" s="17" t="s">
        <v>256</v>
      </c>
      <c r="D16" s="18"/>
      <c r="E16" s="18"/>
      <c r="F16" s="15"/>
      <c r="G16" s="15"/>
      <c r="H16" s="15"/>
      <c r="I16" s="116"/>
      <c r="J16" s="532">
        <v>6.8000000000000005E-2</v>
      </c>
      <c r="K16" s="532"/>
      <c r="L16" s="532"/>
      <c r="M16" s="532"/>
      <c r="N16" s="533"/>
    </row>
    <row r="17" spans="2:14">
      <c r="B17" s="10"/>
      <c r="C17" s="384" t="s">
        <v>257</v>
      </c>
      <c r="D17" s="385"/>
      <c r="E17" s="386"/>
      <c r="F17" s="15" t="s">
        <v>258</v>
      </c>
      <c r="G17" s="15"/>
      <c r="H17" s="15"/>
      <c r="I17" s="116"/>
      <c r="J17" s="525">
        <v>46157</v>
      </c>
      <c r="K17" s="526"/>
      <c r="L17" s="526"/>
      <c r="M17" s="526"/>
      <c r="N17" s="527"/>
    </row>
    <row r="18" spans="2:14">
      <c r="B18" s="10"/>
      <c r="C18" s="387"/>
      <c r="D18" s="388"/>
      <c r="E18" s="389"/>
      <c r="F18" s="15" t="s">
        <v>259</v>
      </c>
      <c r="G18" s="15"/>
      <c r="H18" s="15"/>
      <c r="I18" s="116"/>
      <c r="J18" s="525">
        <v>46251</v>
      </c>
      <c r="K18" s="526"/>
      <c r="L18" s="526"/>
      <c r="M18" s="526"/>
      <c r="N18" s="527"/>
    </row>
    <row r="19" spans="2:14">
      <c r="B19" s="10"/>
      <c r="C19" s="60" t="s">
        <v>260</v>
      </c>
      <c r="D19" s="15"/>
      <c r="E19" s="15"/>
      <c r="F19" s="15"/>
      <c r="G19" s="15"/>
      <c r="H19" s="15"/>
      <c r="I19" s="116"/>
      <c r="J19" s="528" t="s">
        <v>17</v>
      </c>
      <c r="K19" s="528"/>
      <c r="L19" s="528"/>
      <c r="M19" s="528"/>
      <c r="N19" s="529"/>
    </row>
    <row r="20" spans="2:14" ht="15" thickBot="1">
      <c r="B20" s="10"/>
      <c r="C20" s="161" t="s">
        <v>261</v>
      </c>
      <c r="D20" s="162"/>
      <c r="E20" s="162"/>
      <c r="F20" s="162"/>
      <c r="G20" s="162"/>
      <c r="H20" s="162"/>
      <c r="I20" s="162"/>
      <c r="J20" s="382" t="s">
        <v>262</v>
      </c>
      <c r="K20" s="382"/>
      <c r="L20" s="382"/>
      <c r="M20" s="382"/>
      <c r="N20" s="383"/>
    </row>
    <row r="21" spans="2:14" ht="15" thickBot="1">
      <c r="B21" s="10"/>
      <c r="C21" s="10"/>
      <c r="D21" s="5"/>
      <c r="E21" s="5"/>
      <c r="F21" s="5"/>
      <c r="G21" s="5"/>
      <c r="H21" s="5"/>
      <c r="I21" s="5"/>
      <c r="J21" s="5"/>
      <c r="K21" s="5"/>
      <c r="L21" s="5"/>
      <c r="M21" s="5"/>
      <c r="N21" s="8"/>
    </row>
    <row r="22" spans="2:14">
      <c r="B22" s="10"/>
      <c r="C22" s="454" t="s">
        <v>263</v>
      </c>
      <c r="D22" s="455"/>
      <c r="E22" s="455"/>
      <c r="F22" s="455"/>
      <c r="G22" s="455"/>
      <c r="H22" s="455"/>
      <c r="I22" s="455"/>
      <c r="J22" s="455"/>
      <c r="K22" s="455"/>
      <c r="L22" s="455"/>
      <c r="M22" s="455"/>
      <c r="N22" s="456"/>
    </row>
    <row r="23" spans="2:14">
      <c r="B23" s="10"/>
      <c r="C23" s="520" t="s">
        <v>264</v>
      </c>
      <c r="D23" s="521"/>
      <c r="E23" s="521"/>
      <c r="F23" s="521"/>
      <c r="G23" s="521"/>
      <c r="H23" s="521"/>
      <c r="I23" s="521"/>
      <c r="J23" s="521"/>
      <c r="K23" s="521"/>
      <c r="L23" s="521"/>
      <c r="M23" s="521"/>
      <c r="N23" s="522"/>
    </row>
    <row r="24" spans="2:14">
      <c r="B24" s="10"/>
      <c r="C24" s="36" t="s">
        <v>265</v>
      </c>
      <c r="D24" s="163"/>
      <c r="E24" s="163"/>
      <c r="F24" s="163"/>
      <c r="G24" s="163"/>
      <c r="H24" s="163"/>
      <c r="I24" s="164"/>
      <c r="J24" s="517">
        <v>1248484628.0380011</v>
      </c>
      <c r="K24" s="517"/>
      <c r="L24" s="517"/>
      <c r="M24" s="517"/>
      <c r="N24" s="518"/>
    </row>
    <row r="25" spans="2:14">
      <c r="B25" s="10"/>
      <c r="C25" s="520" t="s">
        <v>266</v>
      </c>
      <c r="D25" s="521"/>
      <c r="E25" s="521"/>
      <c r="F25" s="521"/>
      <c r="G25" s="521"/>
      <c r="H25" s="521"/>
      <c r="I25" s="521"/>
      <c r="J25" s="521"/>
      <c r="K25" s="521"/>
      <c r="L25" s="521"/>
      <c r="M25" s="521"/>
      <c r="N25" s="522"/>
    </row>
    <row r="26" spans="2:14">
      <c r="B26" s="10"/>
      <c r="C26" s="83" t="s">
        <v>267</v>
      </c>
      <c r="D26" s="165"/>
      <c r="E26" s="165"/>
      <c r="F26" s="165"/>
      <c r="G26" s="165"/>
      <c r="H26" s="165"/>
      <c r="I26" s="165"/>
      <c r="J26" s="496">
        <f>SUM(J27:M28)</f>
        <v>33826005.560000002</v>
      </c>
      <c r="K26" s="497"/>
      <c r="L26" s="497"/>
      <c r="M26" s="497"/>
      <c r="N26" s="503"/>
    </row>
    <row r="27" spans="2:14">
      <c r="B27" s="10"/>
      <c r="C27" s="166" t="s">
        <v>268</v>
      </c>
      <c r="D27" s="165"/>
      <c r="E27" s="165"/>
      <c r="F27" s="165"/>
      <c r="G27" s="165"/>
      <c r="H27" s="165"/>
      <c r="I27" s="165"/>
      <c r="J27" s="499">
        <v>0</v>
      </c>
      <c r="K27" s="501"/>
      <c r="L27" s="501"/>
      <c r="M27" s="501"/>
      <c r="N27" s="167"/>
    </row>
    <row r="28" spans="2:14">
      <c r="B28" s="10"/>
      <c r="C28" s="166" t="s">
        <v>269</v>
      </c>
      <c r="D28" s="165"/>
      <c r="E28" s="165"/>
      <c r="F28" s="165"/>
      <c r="G28" s="165"/>
      <c r="H28" s="165"/>
      <c r="I28" s="165"/>
      <c r="J28" s="499">
        <v>33826005.560000002</v>
      </c>
      <c r="K28" s="501"/>
      <c r="L28" s="501"/>
      <c r="M28" s="501"/>
      <c r="N28" s="167"/>
    </row>
    <row r="29" spans="2:14">
      <c r="B29" s="10"/>
      <c r="C29" s="83" t="s">
        <v>270</v>
      </c>
      <c r="D29" s="165"/>
      <c r="E29" s="165"/>
      <c r="F29" s="165"/>
      <c r="G29" s="165"/>
      <c r="H29" s="165"/>
      <c r="I29" s="165"/>
      <c r="J29" s="488">
        <f>SUM(J30:M31)</f>
        <v>5670529.0099999998</v>
      </c>
      <c r="K29" s="489"/>
      <c r="L29" s="489"/>
      <c r="M29" s="489"/>
      <c r="N29" s="489"/>
    </row>
    <row r="30" spans="2:14">
      <c r="B30" s="10"/>
      <c r="C30" s="166" t="s">
        <v>271</v>
      </c>
      <c r="D30" s="165"/>
      <c r="E30" s="165"/>
      <c r="F30" s="165"/>
      <c r="G30" s="165"/>
      <c r="H30" s="165"/>
      <c r="I30" s="165"/>
      <c r="J30" s="488">
        <v>5536697.0300000003</v>
      </c>
      <c r="K30" s="489"/>
      <c r="L30" s="489"/>
      <c r="M30" s="489"/>
      <c r="N30" s="167"/>
    </row>
    <row r="31" spans="2:14" ht="13.2" customHeight="1">
      <c r="B31" s="10"/>
      <c r="C31" s="166" t="s">
        <v>272</v>
      </c>
      <c r="D31" s="165"/>
      <c r="E31" s="165"/>
      <c r="F31" s="165"/>
      <c r="G31" s="165"/>
      <c r="H31" s="165"/>
      <c r="I31" s="165"/>
      <c r="J31" s="523">
        <v>133831.97999999998</v>
      </c>
      <c r="K31" s="524"/>
      <c r="L31" s="524"/>
      <c r="M31" s="524"/>
      <c r="N31" s="168"/>
    </row>
    <row r="32" spans="2:14">
      <c r="B32" s="10"/>
      <c r="C32" s="520" t="s">
        <v>273</v>
      </c>
      <c r="D32" s="521"/>
      <c r="E32" s="521"/>
      <c r="F32" s="521"/>
      <c r="G32" s="521"/>
      <c r="H32" s="521"/>
      <c r="I32" s="521"/>
      <c r="J32" s="521"/>
      <c r="K32" s="521"/>
      <c r="L32" s="521"/>
      <c r="M32" s="521"/>
      <c r="N32" s="522"/>
    </row>
    <row r="33" spans="2:14">
      <c r="B33" s="10"/>
      <c r="C33" s="36" t="s">
        <v>274</v>
      </c>
      <c r="D33" s="163"/>
      <c r="E33" s="163"/>
      <c r="F33" s="163"/>
      <c r="G33" s="163"/>
      <c r="H33" s="163"/>
      <c r="I33" s="163"/>
      <c r="J33" s="496">
        <f>SUM(J34:M36)</f>
        <v>55025155.530000038</v>
      </c>
      <c r="K33" s="497"/>
      <c r="L33" s="497"/>
      <c r="M33" s="497"/>
      <c r="N33" s="503"/>
    </row>
    <row r="34" spans="2:14">
      <c r="B34" s="10"/>
      <c r="C34" s="64" t="s">
        <v>275</v>
      </c>
      <c r="D34" s="165"/>
      <c r="E34" s="165"/>
      <c r="F34" s="165"/>
      <c r="G34" s="165"/>
      <c r="H34" s="165"/>
      <c r="I34" s="169"/>
      <c r="J34" s="488">
        <v>14554826.003774002</v>
      </c>
      <c r="K34" s="489"/>
      <c r="L34" s="489"/>
      <c r="M34" s="489"/>
      <c r="N34" s="167"/>
    </row>
    <row r="35" spans="2:14">
      <c r="B35" s="10"/>
      <c r="C35" s="64" t="s">
        <v>276</v>
      </c>
      <c r="D35" s="165"/>
      <c r="E35" s="165"/>
      <c r="F35" s="165"/>
      <c r="G35" s="165"/>
      <c r="H35" s="165"/>
      <c r="I35" s="169"/>
      <c r="J35" s="489">
        <v>40322613.094726034</v>
      </c>
      <c r="K35" s="489"/>
      <c r="L35" s="489"/>
      <c r="M35" s="489"/>
      <c r="N35" s="170"/>
    </row>
    <row r="36" spans="2:14">
      <c r="B36" s="10"/>
      <c r="C36" s="75" t="s">
        <v>277</v>
      </c>
      <c r="D36" s="171"/>
      <c r="E36" s="171"/>
      <c r="F36" s="171"/>
      <c r="G36" s="171"/>
      <c r="H36" s="171"/>
      <c r="I36" s="172"/>
      <c r="J36" s="501">
        <v>147716.43150000021</v>
      </c>
      <c r="K36" s="501"/>
      <c r="L36" s="501"/>
      <c r="M36" s="501"/>
      <c r="N36" s="170"/>
    </row>
    <row r="37" spans="2:14">
      <c r="B37" s="10"/>
      <c r="C37" s="520" t="s">
        <v>278</v>
      </c>
      <c r="D37" s="521"/>
      <c r="E37" s="521"/>
      <c r="F37" s="521"/>
      <c r="G37" s="521"/>
      <c r="H37" s="521"/>
      <c r="I37" s="521"/>
      <c r="J37" s="521"/>
      <c r="K37" s="521"/>
      <c r="L37" s="521"/>
      <c r="M37" s="521"/>
      <c r="N37" s="522"/>
    </row>
    <row r="38" spans="2:14">
      <c r="B38" s="10"/>
      <c r="C38" s="36" t="s">
        <v>279</v>
      </c>
      <c r="D38" s="163"/>
      <c r="E38" s="163"/>
      <c r="F38" s="163"/>
      <c r="G38" s="163"/>
      <c r="H38" s="163"/>
      <c r="I38" s="164"/>
      <c r="J38" s="517">
        <f>SUM(J39:M41)</f>
        <v>57537848.664500035</v>
      </c>
      <c r="K38" s="517"/>
      <c r="L38" s="517"/>
      <c r="M38" s="517"/>
      <c r="N38" s="518"/>
    </row>
    <row r="39" spans="2:14">
      <c r="B39" s="10"/>
      <c r="C39" s="64" t="s">
        <v>280</v>
      </c>
      <c r="D39" s="165"/>
      <c r="E39" s="165"/>
      <c r="F39" s="165"/>
      <c r="G39" s="165"/>
      <c r="H39" s="165"/>
      <c r="I39" s="169"/>
      <c r="J39" s="501">
        <v>14854834.04377399</v>
      </c>
      <c r="K39" s="501"/>
      <c r="L39" s="501"/>
      <c r="M39" s="501"/>
      <c r="N39" s="173"/>
    </row>
    <row r="40" spans="2:14">
      <c r="B40" s="10"/>
      <c r="C40" s="64" t="s">
        <v>281</v>
      </c>
      <c r="D40" s="165"/>
      <c r="E40" s="165"/>
      <c r="F40" s="165"/>
      <c r="G40" s="165"/>
      <c r="H40" s="165"/>
      <c r="I40" s="169"/>
      <c r="J40" s="501">
        <v>42551582.300726041</v>
      </c>
      <c r="K40" s="501"/>
      <c r="L40" s="501"/>
      <c r="M40" s="501"/>
      <c r="N40" s="173"/>
    </row>
    <row r="41" spans="2:14">
      <c r="B41" s="10"/>
      <c r="C41" s="64" t="s">
        <v>282</v>
      </c>
      <c r="D41" s="165"/>
      <c r="E41" s="165"/>
      <c r="F41" s="165"/>
      <c r="G41" s="165"/>
      <c r="H41" s="165"/>
      <c r="I41" s="169"/>
      <c r="J41" s="501">
        <v>131432.32000000033</v>
      </c>
      <c r="K41" s="501"/>
      <c r="L41" s="501"/>
      <c r="M41" s="501"/>
      <c r="N41" s="173"/>
    </row>
    <row r="42" spans="2:14">
      <c r="B42" s="10"/>
      <c r="C42" s="174" t="s">
        <v>283</v>
      </c>
      <c r="D42" s="175"/>
      <c r="E42" s="175"/>
      <c r="F42" s="175"/>
      <c r="G42" s="175"/>
      <c r="H42" s="175"/>
      <c r="I42" s="176"/>
      <c r="J42" s="513">
        <v>8283506.5099999998</v>
      </c>
      <c r="K42" s="514"/>
      <c r="L42" s="514"/>
      <c r="M42" s="514"/>
      <c r="N42" s="515"/>
    </row>
    <row r="43" spans="2:14">
      <c r="B43" s="10"/>
      <c r="C43" s="12" t="s">
        <v>284</v>
      </c>
      <c r="D43" s="175"/>
      <c r="E43" s="175"/>
      <c r="F43" s="175"/>
      <c r="G43" s="175"/>
      <c r="H43" s="175"/>
      <c r="I43" s="176"/>
      <c r="J43" s="513">
        <v>0</v>
      </c>
      <c r="K43" s="514"/>
      <c r="L43" s="514"/>
      <c r="M43" s="514"/>
      <c r="N43" s="515"/>
    </row>
    <row r="44" spans="2:14">
      <c r="B44" s="10"/>
      <c r="C44" s="12" t="s">
        <v>285</v>
      </c>
      <c r="D44" s="175"/>
      <c r="E44" s="175"/>
      <c r="F44" s="175"/>
      <c r="G44" s="175"/>
      <c r="H44" s="175"/>
      <c r="I44" s="176"/>
      <c r="J44" s="513">
        <v>0</v>
      </c>
      <c r="K44" s="514"/>
      <c r="L44" s="514"/>
      <c r="M44" s="514"/>
      <c r="N44" s="515"/>
    </row>
    <row r="45" spans="2:14" ht="13.95" customHeight="1">
      <c r="B45" s="10"/>
      <c r="C45" s="36" t="s">
        <v>286</v>
      </c>
      <c r="D45" s="163"/>
      <c r="E45" s="163"/>
      <c r="F45" s="163"/>
      <c r="G45" s="163"/>
      <c r="H45" s="163"/>
      <c r="I45" s="163"/>
      <c r="J45" s="516">
        <f>SUM(J46:M47)</f>
        <v>34699861.039999999</v>
      </c>
      <c r="K45" s="517"/>
      <c r="L45" s="517"/>
      <c r="M45" s="517"/>
      <c r="N45" s="518"/>
    </row>
    <row r="46" spans="2:14">
      <c r="B46" s="10"/>
      <c r="C46" s="166" t="s">
        <v>96</v>
      </c>
      <c r="D46" s="165"/>
      <c r="E46" s="165"/>
      <c r="F46" s="165"/>
      <c r="G46" s="165"/>
      <c r="H46" s="165"/>
      <c r="I46" s="165"/>
      <c r="J46" s="519">
        <v>0</v>
      </c>
      <c r="K46" s="505"/>
      <c r="L46" s="505"/>
      <c r="M46" s="505"/>
      <c r="N46" s="177"/>
    </row>
    <row r="47" spans="2:14">
      <c r="B47" s="10"/>
      <c r="C47" s="166" t="s">
        <v>97</v>
      </c>
      <c r="D47" s="165"/>
      <c r="E47" s="165"/>
      <c r="F47" s="165"/>
      <c r="G47" s="165"/>
      <c r="H47" s="165"/>
      <c r="I47" s="169"/>
      <c r="J47" s="499">
        <f>SUM(J48:M50)</f>
        <v>34699861.039999999</v>
      </c>
      <c r="K47" s="501"/>
      <c r="L47" s="501"/>
      <c r="M47" s="501"/>
      <c r="N47" s="504"/>
    </row>
    <row r="48" spans="2:14">
      <c r="B48" s="10"/>
      <c r="C48" s="178" t="s">
        <v>287</v>
      </c>
      <c r="D48" s="165"/>
      <c r="E48" s="165"/>
      <c r="F48" s="165"/>
      <c r="G48" s="165"/>
      <c r="H48" s="165"/>
      <c r="I48" s="169"/>
      <c r="J48" s="505">
        <v>34699861.039999999</v>
      </c>
      <c r="K48" s="505"/>
      <c r="L48" s="505"/>
      <c r="M48" s="505"/>
      <c r="N48" s="177"/>
    </row>
    <row r="49" spans="2:14">
      <c r="B49" s="10"/>
      <c r="C49" s="178" t="s">
        <v>288</v>
      </c>
      <c r="D49" s="165"/>
      <c r="E49" s="165"/>
      <c r="F49" s="165"/>
      <c r="G49" s="165"/>
      <c r="H49" s="165"/>
      <c r="I49" s="169"/>
      <c r="J49" s="505">
        <v>0</v>
      </c>
      <c r="K49" s="505"/>
      <c r="L49" s="505"/>
      <c r="M49" s="505"/>
      <c r="N49" s="177"/>
    </row>
    <row r="50" spans="2:14">
      <c r="B50" s="10"/>
      <c r="C50" s="179" t="s">
        <v>289</v>
      </c>
      <c r="D50" s="171"/>
      <c r="E50" s="171"/>
      <c r="F50" s="171"/>
      <c r="G50" s="171"/>
      <c r="H50" s="171"/>
      <c r="I50" s="172"/>
      <c r="J50" s="506">
        <v>0</v>
      </c>
      <c r="K50" s="507"/>
      <c r="L50" s="507"/>
      <c r="M50" s="507"/>
      <c r="N50" s="180"/>
    </row>
    <row r="51" spans="2:14">
      <c r="B51" s="10"/>
      <c r="C51" s="508" t="s">
        <v>290</v>
      </c>
      <c r="D51" s="509"/>
      <c r="E51" s="509"/>
      <c r="F51" s="509"/>
      <c r="G51" s="509"/>
      <c r="H51" s="509"/>
      <c r="I51" s="509"/>
      <c r="J51" s="509"/>
      <c r="K51" s="509"/>
      <c r="L51" s="509"/>
      <c r="M51" s="509"/>
      <c r="N51" s="510"/>
    </row>
    <row r="52" spans="2:14" ht="15" thickBot="1">
      <c r="B52" s="10"/>
      <c r="C52" s="123" t="s">
        <v>291</v>
      </c>
      <c r="D52" s="181"/>
      <c r="E52" s="181"/>
      <c r="F52" s="181"/>
      <c r="G52" s="181"/>
      <c r="H52" s="181"/>
      <c r="I52" s="182"/>
      <c r="J52" s="511">
        <v>1228345200.8555007</v>
      </c>
      <c r="K52" s="511"/>
      <c r="L52" s="511"/>
      <c r="M52" s="511"/>
      <c r="N52" s="512"/>
    </row>
    <row r="53" spans="2:14" ht="15" thickBot="1">
      <c r="B53" s="10"/>
      <c r="C53" s="183"/>
      <c r="D53" s="183"/>
      <c r="E53" s="183"/>
      <c r="F53" s="183"/>
      <c r="G53" s="183"/>
      <c r="H53" s="183"/>
      <c r="I53" s="183"/>
      <c r="J53" s="183"/>
      <c r="K53" s="183"/>
      <c r="L53" s="183"/>
      <c r="M53" s="183"/>
      <c r="N53" s="183"/>
    </row>
    <row r="54" spans="2:14">
      <c r="B54" s="10"/>
      <c r="C54" s="454" t="s">
        <v>292</v>
      </c>
      <c r="D54" s="455"/>
      <c r="E54" s="455"/>
      <c r="F54" s="455"/>
      <c r="G54" s="455"/>
      <c r="H54" s="455"/>
      <c r="I54" s="455"/>
      <c r="J54" s="455"/>
      <c r="K54" s="455"/>
      <c r="L54" s="455"/>
      <c r="M54" s="455"/>
      <c r="N54" s="456"/>
    </row>
    <row r="55" spans="2:14">
      <c r="B55" s="10"/>
      <c r="C55" s="184"/>
      <c r="D55" s="117"/>
      <c r="E55" s="117"/>
      <c r="F55" s="117"/>
      <c r="G55" s="117"/>
      <c r="H55" s="117"/>
      <c r="I55" s="229" t="s">
        <v>293</v>
      </c>
      <c r="J55" s="206"/>
      <c r="K55" s="230"/>
      <c r="L55" s="229" t="s">
        <v>294</v>
      </c>
      <c r="M55" s="206"/>
      <c r="N55" s="231"/>
    </row>
    <row r="56" spans="2:14">
      <c r="B56" s="10"/>
      <c r="C56" s="12" t="s">
        <v>295</v>
      </c>
      <c r="D56" s="145"/>
      <c r="E56" s="145"/>
      <c r="F56" s="145"/>
      <c r="G56" s="145"/>
      <c r="H56" s="145"/>
      <c r="I56" s="286">
        <f>I66-I57-I61</f>
        <v>1147461371.8770008</v>
      </c>
      <c r="J56" s="502"/>
      <c r="K56" s="287"/>
      <c r="L56" s="497">
        <f>L66-L57-L61</f>
        <v>1112836046.4520006</v>
      </c>
      <c r="M56" s="497"/>
      <c r="N56" s="503"/>
    </row>
    <row r="57" spans="2:14">
      <c r="B57" s="10"/>
      <c r="C57" s="36" t="s">
        <v>296</v>
      </c>
      <c r="D57" s="186"/>
      <c r="E57" s="186"/>
      <c r="F57" s="186"/>
      <c r="G57" s="186"/>
      <c r="H57" s="186"/>
      <c r="I57" s="496">
        <f>SUM(I58:J60)</f>
        <v>101023256.16100001</v>
      </c>
      <c r="J57" s="497"/>
      <c r="K57" s="498"/>
      <c r="L57" s="496">
        <f>SUM(L58:M60)</f>
        <v>115509154.40349998</v>
      </c>
      <c r="M57" s="497"/>
      <c r="N57" s="503"/>
    </row>
    <row r="58" spans="2:14">
      <c r="B58" s="10"/>
      <c r="C58" s="64" t="s">
        <v>297</v>
      </c>
      <c r="D58" s="185"/>
      <c r="E58" s="185"/>
      <c r="F58" s="185"/>
      <c r="G58" s="185"/>
      <c r="H58" s="185"/>
      <c r="I58" s="499">
        <v>14409732.974499999</v>
      </c>
      <c r="J58" s="500"/>
      <c r="K58" s="187"/>
      <c r="L58" s="499">
        <v>73641909.020499974</v>
      </c>
      <c r="M58" s="501"/>
      <c r="N58" s="167"/>
    </row>
    <row r="59" spans="2:14">
      <c r="B59" s="10"/>
      <c r="C59" s="188" t="s">
        <v>298</v>
      </c>
      <c r="D59" s="185"/>
      <c r="E59" s="185"/>
      <c r="F59" s="185"/>
      <c r="G59" s="185"/>
      <c r="H59" s="185"/>
      <c r="I59" s="499">
        <v>78613281.738000005</v>
      </c>
      <c r="J59" s="500"/>
      <c r="K59" s="187"/>
      <c r="L59" s="499">
        <v>40703734.463000007</v>
      </c>
      <c r="M59" s="501"/>
      <c r="N59" s="167"/>
    </row>
    <row r="60" spans="2:14">
      <c r="B60" s="10"/>
      <c r="C60" s="189" t="s">
        <v>299</v>
      </c>
      <c r="D60" s="190"/>
      <c r="E60" s="190"/>
      <c r="F60" s="190"/>
      <c r="G60" s="190"/>
      <c r="H60" s="190"/>
      <c r="I60" s="499">
        <v>8000241.4484999999</v>
      </c>
      <c r="J60" s="500"/>
      <c r="K60" s="191"/>
      <c r="L60" s="499">
        <v>1163510.92</v>
      </c>
      <c r="M60" s="501"/>
      <c r="N60" s="168"/>
    </row>
    <row r="61" spans="2:14">
      <c r="B61" s="10"/>
      <c r="C61" s="192" t="s">
        <v>300</v>
      </c>
      <c r="D61" s="186"/>
      <c r="E61" s="186"/>
      <c r="F61" s="186"/>
      <c r="G61" s="186"/>
      <c r="H61" s="186"/>
      <c r="I61" s="496">
        <f>SUM(I62:J65)</f>
        <v>0</v>
      </c>
      <c r="J61" s="497"/>
      <c r="K61" s="498"/>
      <c r="L61" s="496">
        <f>SUM(L62:M65)</f>
        <v>0</v>
      </c>
      <c r="M61" s="497"/>
      <c r="N61" s="498"/>
    </row>
    <row r="62" spans="2:14">
      <c r="B62" s="10"/>
      <c r="C62" s="188" t="s">
        <v>301</v>
      </c>
      <c r="D62" s="185"/>
      <c r="E62" s="185"/>
      <c r="F62" s="185"/>
      <c r="G62" s="185"/>
      <c r="H62" s="185"/>
      <c r="I62" s="488">
        <v>0</v>
      </c>
      <c r="J62" s="489"/>
      <c r="K62" s="187"/>
      <c r="L62" s="488">
        <v>0</v>
      </c>
      <c r="M62" s="489"/>
      <c r="N62" s="187"/>
    </row>
    <row r="63" spans="2:14">
      <c r="B63" s="10"/>
      <c r="C63" s="188" t="s">
        <v>302</v>
      </c>
      <c r="D63" s="185"/>
      <c r="E63" s="185"/>
      <c r="F63" s="185"/>
      <c r="G63" s="185"/>
      <c r="H63" s="185"/>
      <c r="I63" s="488">
        <v>0</v>
      </c>
      <c r="J63" s="489"/>
      <c r="K63" s="187"/>
      <c r="L63" s="488">
        <v>0</v>
      </c>
      <c r="M63" s="489"/>
      <c r="N63" s="187"/>
    </row>
    <row r="64" spans="2:14">
      <c r="B64" s="10"/>
      <c r="C64" s="188" t="s">
        <v>303</v>
      </c>
      <c r="D64" s="185"/>
      <c r="E64" s="185"/>
      <c r="F64" s="185"/>
      <c r="G64" s="185"/>
      <c r="H64" s="185"/>
      <c r="I64" s="488">
        <v>0</v>
      </c>
      <c r="J64" s="489"/>
      <c r="K64" s="187"/>
      <c r="L64" s="488">
        <v>0</v>
      </c>
      <c r="M64" s="489"/>
      <c r="N64" s="187"/>
    </row>
    <row r="65" spans="2:14">
      <c r="B65" s="10"/>
      <c r="C65" s="189" t="s">
        <v>304</v>
      </c>
      <c r="D65" s="190"/>
      <c r="E65" s="190"/>
      <c r="F65" s="190"/>
      <c r="G65" s="190"/>
      <c r="H65" s="190"/>
      <c r="I65" s="490">
        <v>0</v>
      </c>
      <c r="J65" s="491"/>
      <c r="K65" s="191"/>
      <c r="L65" s="490">
        <v>0</v>
      </c>
      <c r="M65" s="491"/>
      <c r="N65" s="191"/>
    </row>
    <row r="66" spans="2:14" ht="15" thickBot="1">
      <c r="B66" s="10"/>
      <c r="C66" s="93" t="s">
        <v>305</v>
      </c>
      <c r="D66" s="193"/>
      <c r="E66" s="193"/>
      <c r="F66" s="193"/>
      <c r="G66" s="193"/>
      <c r="H66" s="193"/>
      <c r="I66" s="492">
        <v>1248484628.0380008</v>
      </c>
      <c r="J66" s="493"/>
      <c r="K66" s="494"/>
      <c r="L66" s="492">
        <f>J52</f>
        <v>1228345200.8555007</v>
      </c>
      <c r="M66" s="493"/>
      <c r="N66" s="495"/>
    </row>
    <row r="67" spans="2:14" ht="15" thickBot="1">
      <c r="B67" s="10"/>
      <c r="C67" s="183"/>
      <c r="D67" s="183"/>
      <c r="E67" s="183"/>
      <c r="F67" s="183"/>
      <c r="G67" s="183"/>
      <c r="H67" s="183"/>
      <c r="I67" s="183"/>
      <c r="J67" s="183"/>
      <c r="K67" s="183"/>
      <c r="L67" s="183"/>
      <c r="M67" s="183"/>
      <c r="N67" s="183"/>
    </row>
    <row r="68" spans="2:14">
      <c r="B68" s="10"/>
      <c r="C68" s="454" t="s">
        <v>306</v>
      </c>
      <c r="D68" s="455"/>
      <c r="E68" s="455"/>
      <c r="F68" s="455"/>
      <c r="G68" s="455"/>
      <c r="H68" s="455"/>
      <c r="I68" s="455"/>
      <c r="J68" s="455"/>
      <c r="K68" s="455"/>
      <c r="L68" s="455"/>
      <c r="M68" s="455"/>
      <c r="N68" s="456"/>
    </row>
    <row r="69" spans="2:14">
      <c r="B69" s="10"/>
      <c r="C69" s="194"/>
      <c r="D69" s="175"/>
      <c r="E69" s="175"/>
      <c r="F69" s="229" t="s">
        <v>132</v>
      </c>
      <c r="G69" s="206"/>
      <c r="H69" s="230"/>
      <c r="I69" s="229" t="s">
        <v>307</v>
      </c>
      <c r="J69" s="206"/>
      <c r="K69" s="230"/>
      <c r="L69" s="229" t="s">
        <v>308</v>
      </c>
      <c r="M69" s="206"/>
      <c r="N69" s="231"/>
    </row>
    <row r="70" spans="2:14">
      <c r="B70" s="10"/>
      <c r="C70" s="12" t="s">
        <v>309</v>
      </c>
      <c r="D70" s="175"/>
      <c r="E70" s="176"/>
      <c r="F70" s="484" t="s">
        <v>310</v>
      </c>
      <c r="G70" s="473"/>
      <c r="H70" s="474"/>
      <c r="I70" s="460">
        <v>0.5933860166381304</v>
      </c>
      <c r="J70" s="461"/>
      <c r="K70" s="462"/>
      <c r="L70" s="485">
        <v>0.58777188969893801</v>
      </c>
      <c r="M70" s="486"/>
      <c r="N70" s="487"/>
    </row>
    <row r="71" spans="2:14">
      <c r="B71" s="10"/>
      <c r="C71" s="12" t="s">
        <v>311</v>
      </c>
      <c r="D71" s="175"/>
      <c r="E71" s="176"/>
      <c r="F71" s="472" t="s">
        <v>312</v>
      </c>
      <c r="G71" s="473"/>
      <c r="H71" s="474"/>
      <c r="I71" s="460">
        <v>0.21800944796351601</v>
      </c>
      <c r="J71" s="461"/>
      <c r="K71" s="462"/>
      <c r="L71" s="475">
        <f>SUM(I94)</f>
        <v>0.24473912850892901</v>
      </c>
      <c r="M71" s="476"/>
      <c r="N71" s="477"/>
    </row>
    <row r="72" spans="2:14">
      <c r="B72" s="10"/>
      <c r="C72" s="12" t="s">
        <v>313</v>
      </c>
      <c r="D72" s="175"/>
      <c r="E72" s="176"/>
      <c r="F72" s="472" t="s">
        <v>314</v>
      </c>
      <c r="G72" s="473"/>
      <c r="H72" s="474"/>
      <c r="I72" s="478">
        <v>50.103918032083719</v>
      </c>
      <c r="J72" s="479"/>
      <c r="K72" s="480"/>
      <c r="L72" s="481">
        <v>52.25874106421027</v>
      </c>
      <c r="M72" s="482"/>
      <c r="N72" s="483"/>
    </row>
    <row r="73" spans="2:14">
      <c r="B73" s="10"/>
      <c r="C73" s="83" t="s">
        <v>315</v>
      </c>
      <c r="D73" s="185"/>
      <c r="E73" s="185"/>
      <c r="F73" s="472" t="s">
        <v>316</v>
      </c>
      <c r="G73" s="473"/>
      <c r="H73" s="474"/>
      <c r="I73" s="460">
        <v>3.00962550095457E-2</v>
      </c>
      <c r="J73" s="461"/>
      <c r="K73" s="462"/>
      <c r="L73" s="463">
        <v>3.0135681423076946E-2</v>
      </c>
      <c r="M73" s="464"/>
      <c r="N73" s="465"/>
    </row>
    <row r="74" spans="2:14">
      <c r="B74" s="10"/>
      <c r="C74" s="12" t="s">
        <v>317</v>
      </c>
      <c r="D74" s="145"/>
      <c r="E74" s="130"/>
      <c r="F74" s="457">
        <v>0.22</v>
      </c>
      <c r="G74" s="458">
        <v>0.22</v>
      </c>
      <c r="H74" s="459">
        <v>0.22</v>
      </c>
      <c r="I74" s="460">
        <v>0.1225521063887243</v>
      </c>
      <c r="J74" s="461"/>
      <c r="K74" s="462"/>
      <c r="L74" s="463">
        <v>0.12332307044021257</v>
      </c>
      <c r="M74" s="464"/>
      <c r="N74" s="465"/>
    </row>
    <row r="75" spans="2:14">
      <c r="B75" s="10"/>
      <c r="C75" s="12" t="s">
        <v>318</v>
      </c>
      <c r="D75" s="185"/>
      <c r="E75" s="185"/>
      <c r="F75" s="457">
        <v>0.27</v>
      </c>
      <c r="G75" s="458">
        <v>0.27</v>
      </c>
      <c r="H75" s="459">
        <v>0.27</v>
      </c>
      <c r="I75" s="460">
        <v>0.15248406763259356</v>
      </c>
      <c r="J75" s="461"/>
      <c r="K75" s="462"/>
      <c r="L75" s="463">
        <v>0.15356575049800686</v>
      </c>
      <c r="M75" s="464"/>
      <c r="N75" s="465"/>
    </row>
    <row r="76" spans="2:14">
      <c r="B76" s="10"/>
      <c r="C76" s="12" t="s">
        <v>319</v>
      </c>
      <c r="D76" s="145"/>
      <c r="E76" s="130"/>
      <c r="F76" s="457">
        <v>0.32</v>
      </c>
      <c r="G76" s="458">
        <v>0.32</v>
      </c>
      <c r="H76" s="459">
        <v>0.32</v>
      </c>
      <c r="I76" s="460">
        <v>0.18222615922594698</v>
      </c>
      <c r="J76" s="461"/>
      <c r="K76" s="462"/>
      <c r="L76" s="463">
        <v>0.18367400635657363</v>
      </c>
      <c r="M76" s="464"/>
      <c r="N76" s="465"/>
    </row>
    <row r="77" spans="2:14">
      <c r="B77" s="10"/>
      <c r="C77" s="12" t="s">
        <v>320</v>
      </c>
      <c r="D77" s="145"/>
      <c r="E77" s="130"/>
      <c r="F77" s="457">
        <v>0.36</v>
      </c>
      <c r="G77" s="458">
        <v>0.36</v>
      </c>
      <c r="H77" s="459">
        <v>0.36</v>
      </c>
      <c r="I77" s="460">
        <v>0.20949398161275479</v>
      </c>
      <c r="J77" s="461"/>
      <c r="K77" s="462"/>
      <c r="L77" s="463">
        <v>0.21140029971961208</v>
      </c>
      <c r="M77" s="464"/>
      <c r="N77" s="465"/>
    </row>
    <row r="78" spans="2:14" ht="15" thickBot="1">
      <c r="B78" s="10"/>
      <c r="C78" s="93" t="s">
        <v>321</v>
      </c>
      <c r="D78" s="193"/>
      <c r="E78" s="193"/>
      <c r="F78" s="466">
        <v>0.47</v>
      </c>
      <c r="G78" s="467">
        <v>0.47</v>
      </c>
      <c r="H78" s="468">
        <v>0.47</v>
      </c>
      <c r="I78" s="469">
        <v>0.23621014162861104</v>
      </c>
      <c r="J78" s="470"/>
      <c r="K78" s="471"/>
      <c r="L78" s="463">
        <v>0.23829977390405752</v>
      </c>
      <c r="M78" s="464"/>
      <c r="N78" s="465"/>
    </row>
    <row r="79" spans="2:14" ht="15" thickBot="1">
      <c r="B79" s="10"/>
      <c r="C79" s="183"/>
      <c r="D79" s="183"/>
      <c r="E79" s="183"/>
      <c r="F79" s="183"/>
      <c r="G79" s="183"/>
      <c r="H79" s="183"/>
      <c r="I79" s="183"/>
      <c r="J79" s="183"/>
      <c r="K79" s="183"/>
      <c r="L79" s="183"/>
      <c r="M79" s="183"/>
      <c r="N79" s="183"/>
    </row>
    <row r="80" spans="2:14">
      <c r="B80" s="10"/>
      <c r="C80" s="454" t="s">
        <v>322</v>
      </c>
      <c r="D80" s="455"/>
      <c r="E80" s="455"/>
      <c r="F80" s="455"/>
      <c r="G80" s="235"/>
      <c r="H80" s="235"/>
      <c r="I80" s="455"/>
      <c r="J80" s="455"/>
      <c r="K80" s="455"/>
      <c r="L80" s="455"/>
      <c r="M80" s="455"/>
      <c r="N80" s="456"/>
    </row>
    <row r="81" spans="2:14">
      <c r="B81" s="10"/>
      <c r="C81" s="174" t="s">
        <v>323</v>
      </c>
      <c r="D81" s="145"/>
      <c r="E81" s="145"/>
      <c r="F81" s="145"/>
      <c r="G81" s="229" t="s">
        <v>324</v>
      </c>
      <c r="H81" s="230"/>
      <c r="I81" s="206" t="s">
        <v>325</v>
      </c>
      <c r="J81" s="230"/>
      <c r="K81" s="430" t="s">
        <v>326</v>
      </c>
      <c r="L81" s="431"/>
      <c r="M81" s="206" t="s">
        <v>327</v>
      </c>
      <c r="N81" s="230"/>
    </row>
    <row r="82" spans="2:14">
      <c r="B82" s="10"/>
      <c r="C82" s="195" t="s">
        <v>328</v>
      </c>
      <c r="D82" s="165"/>
      <c r="E82" s="165"/>
      <c r="F82" s="165"/>
      <c r="G82" s="434">
        <f>'[1]Servicer Report'!$G$82</f>
        <v>710370114.55099988</v>
      </c>
      <c r="H82" s="435"/>
      <c r="I82" s="438">
        <f>G82/$G$87</f>
        <v>0.57831472297547271</v>
      </c>
      <c r="J82" s="438"/>
      <c r="K82" s="434">
        <f>'[1]Servicer Report'!$K$82</f>
        <v>121</v>
      </c>
      <c r="L82" s="435"/>
      <c r="M82" s="438">
        <f>K82/$K$87</f>
        <v>0.57619047619047614</v>
      </c>
      <c r="N82" s="439"/>
    </row>
    <row r="83" spans="2:14">
      <c r="B83" s="10"/>
      <c r="C83" s="195" t="s">
        <v>329</v>
      </c>
      <c r="D83" s="165"/>
      <c r="E83" s="165"/>
      <c r="F83" s="165"/>
      <c r="G83" s="420">
        <f>'[1]Servicer Report'!$G$83</f>
        <v>299480622.80000007</v>
      </c>
      <c r="H83" s="421"/>
      <c r="I83" s="438">
        <f>G83/$G$87</f>
        <v>0.24380819218524416</v>
      </c>
      <c r="J83" s="438"/>
      <c r="K83" s="420">
        <f>'[1]Servicer Report'!$K$83</f>
        <v>34</v>
      </c>
      <c r="L83" s="421"/>
      <c r="M83" s="438">
        <f t="shared" ref="M83:M86" si="0">K83/$K$87</f>
        <v>0.16190476190476191</v>
      </c>
      <c r="N83" s="439"/>
    </row>
    <row r="84" spans="2:14">
      <c r="B84" s="10"/>
      <c r="C84" s="195" t="s">
        <v>330</v>
      </c>
      <c r="D84" s="165"/>
      <c r="E84" s="165"/>
      <c r="F84" s="165"/>
      <c r="G84" s="420">
        <f>'[1]Servicer Report'!$G$84</f>
        <v>13848627.640000001</v>
      </c>
      <c r="H84" s="421"/>
      <c r="I84" s="438">
        <f>G84/$G$87</f>
        <v>1.1274214797562535E-2</v>
      </c>
      <c r="J84" s="438"/>
      <c r="K84" s="420">
        <f>'[1]Servicer Report'!$K$84</f>
        <v>6</v>
      </c>
      <c r="L84" s="421"/>
      <c r="M84" s="438">
        <f t="shared" si="0"/>
        <v>2.8571428571428571E-2</v>
      </c>
      <c r="N84" s="439"/>
    </row>
    <row r="85" spans="2:14">
      <c r="B85" s="10"/>
      <c r="C85" s="195" t="s">
        <v>331</v>
      </c>
      <c r="D85" s="165"/>
      <c r="E85" s="165"/>
      <c r="F85" s="165"/>
      <c r="G85" s="420">
        <f>'[1]Servicer Report'!$G$85</f>
        <v>69110650.564500004</v>
      </c>
      <c r="H85" s="421"/>
      <c r="I85" s="438">
        <f>G85/$G$87</f>
        <v>5.6263215353767673E-2</v>
      </c>
      <c r="J85" s="438"/>
      <c r="K85" s="420">
        <f>'[1]Servicer Report'!$K$85</f>
        <v>16</v>
      </c>
      <c r="L85" s="421"/>
      <c r="M85" s="438">
        <f t="shared" si="0"/>
        <v>7.6190476190476197E-2</v>
      </c>
      <c r="N85" s="439"/>
    </row>
    <row r="86" spans="2:14">
      <c r="B86" s="10"/>
      <c r="C86" s="195" t="s">
        <v>332</v>
      </c>
      <c r="D86" s="165"/>
      <c r="E86" s="165"/>
      <c r="F86" s="165"/>
      <c r="G86" s="426">
        <f>'[1]Servicer Report'!$G$86</f>
        <v>135535185.29999998</v>
      </c>
      <c r="H86" s="427"/>
      <c r="I86" s="438">
        <f>G86/$G$87</f>
        <v>0.11033965468795287</v>
      </c>
      <c r="J86" s="438"/>
      <c r="K86" s="426">
        <f>'[1]Servicer Report'!$K$86</f>
        <v>33</v>
      </c>
      <c r="L86" s="427"/>
      <c r="M86" s="438">
        <f t="shared" si="0"/>
        <v>0.15714285714285714</v>
      </c>
      <c r="N86" s="439"/>
    </row>
    <row r="87" spans="2:14">
      <c r="B87" s="10"/>
      <c r="C87" s="174" t="s">
        <v>333</v>
      </c>
      <c r="D87" s="145"/>
      <c r="E87" s="145"/>
      <c r="F87" s="145"/>
      <c r="G87" s="450">
        <f>SUM(G82:H86)</f>
        <v>1228345200.8555</v>
      </c>
      <c r="H87" s="451"/>
      <c r="I87" s="452">
        <f>SUM(I82:J86)</f>
        <v>1</v>
      </c>
      <c r="J87" s="453"/>
      <c r="K87" s="450">
        <f>SUM(K82:L86)</f>
        <v>210</v>
      </c>
      <c r="L87" s="451"/>
      <c r="M87" s="442">
        <f>SUM(M82:N86)</f>
        <v>0.99999999999999989</v>
      </c>
      <c r="N87" s="444"/>
    </row>
    <row r="88" spans="2:14">
      <c r="B88" s="10"/>
      <c r="C88" s="183"/>
      <c r="D88" s="183"/>
      <c r="E88" s="183"/>
      <c r="F88" s="183"/>
      <c r="G88" s="183"/>
      <c r="H88" s="183"/>
      <c r="I88" s="183"/>
      <c r="J88" s="183"/>
      <c r="K88" s="183"/>
      <c r="L88" s="183"/>
      <c r="M88" s="183"/>
      <c r="N88" s="183"/>
    </row>
    <row r="89" spans="2:14">
      <c r="B89" s="10"/>
      <c r="C89" s="174" t="s">
        <v>334</v>
      </c>
      <c r="D89" s="145"/>
      <c r="E89" s="145"/>
      <c r="F89" s="145"/>
      <c r="G89" s="430" t="s">
        <v>324</v>
      </c>
      <c r="H89" s="431"/>
      <c r="I89" s="229" t="s">
        <v>325</v>
      </c>
      <c r="J89" s="230"/>
      <c r="K89" s="430" t="s">
        <v>326</v>
      </c>
      <c r="L89" s="431"/>
      <c r="M89" s="206" t="s">
        <v>327</v>
      </c>
      <c r="N89" s="230"/>
    </row>
    <row r="90" spans="2:14">
      <c r="B90" s="10"/>
      <c r="C90" s="195" t="s">
        <v>335</v>
      </c>
      <c r="D90" s="165"/>
      <c r="E90" s="165"/>
      <c r="F90" s="165"/>
      <c r="G90" s="434">
        <v>24794273.140000001</v>
      </c>
      <c r="H90" s="435"/>
      <c r="I90" s="438">
        <f>G90/$G$95</f>
        <v>2.0185101975187133E-2</v>
      </c>
      <c r="J90" s="438"/>
      <c r="K90" s="434">
        <v>18</v>
      </c>
      <c r="L90" s="435"/>
      <c r="M90" s="446">
        <f>K90/$K$95</f>
        <v>8.5714285714285715E-2</v>
      </c>
      <c r="N90" s="447"/>
    </row>
    <row r="91" spans="2:14">
      <c r="B91" s="10"/>
      <c r="C91" s="195" t="s">
        <v>336</v>
      </c>
      <c r="D91" s="165"/>
      <c r="E91" s="165"/>
      <c r="F91" s="165"/>
      <c r="G91" s="420">
        <v>237089766.15749994</v>
      </c>
      <c r="H91" s="421"/>
      <c r="I91" s="438">
        <f>G91/$G$95</f>
        <v>0.19301558388665904</v>
      </c>
      <c r="J91" s="438"/>
      <c r="K91" s="420">
        <v>58</v>
      </c>
      <c r="L91" s="421"/>
      <c r="M91" s="438">
        <f>K91/$K$95</f>
        <v>0.27619047619047621</v>
      </c>
      <c r="N91" s="439"/>
    </row>
    <row r="92" spans="2:14">
      <c r="B92" s="10"/>
      <c r="C92" s="195" t="s">
        <v>337</v>
      </c>
      <c r="D92" s="165"/>
      <c r="E92" s="165"/>
      <c r="F92" s="165"/>
      <c r="G92" s="420">
        <v>416768409.93299979</v>
      </c>
      <c r="H92" s="421"/>
      <c r="I92" s="438">
        <f>G92/$G$95</f>
        <v>0.33929257804950491</v>
      </c>
      <c r="J92" s="438"/>
      <c r="K92" s="420">
        <v>72</v>
      </c>
      <c r="L92" s="421"/>
      <c r="M92" s="438">
        <f>K92/$K$95</f>
        <v>0.34285714285714286</v>
      </c>
      <c r="N92" s="439"/>
    </row>
    <row r="93" spans="2:14">
      <c r="B93" s="10"/>
      <c r="C93" s="195" t="s">
        <v>338</v>
      </c>
      <c r="D93" s="165"/>
      <c r="E93" s="165"/>
      <c r="F93" s="165"/>
      <c r="G93" s="420">
        <v>249068617.65950024</v>
      </c>
      <c r="H93" s="421"/>
      <c r="I93" s="438">
        <f>G93/$G$95</f>
        <v>0.20276760757971979</v>
      </c>
      <c r="J93" s="438"/>
      <c r="K93" s="420">
        <v>34</v>
      </c>
      <c r="L93" s="421"/>
      <c r="M93" s="438">
        <f>K93/$K$95</f>
        <v>0.16190476190476191</v>
      </c>
      <c r="N93" s="439"/>
    </row>
    <row r="94" spans="2:14">
      <c r="B94" s="10"/>
      <c r="C94" s="195" t="s">
        <v>339</v>
      </c>
      <c r="D94" s="165"/>
      <c r="E94" s="165"/>
      <c r="F94" s="165"/>
      <c r="G94" s="424">
        <v>300624133.96550059</v>
      </c>
      <c r="H94" s="425"/>
      <c r="I94" s="419">
        <f>G94/$G$95</f>
        <v>0.24473912850892901</v>
      </c>
      <c r="J94" s="419"/>
      <c r="K94" s="426">
        <v>28</v>
      </c>
      <c r="L94" s="427"/>
      <c r="M94" s="448">
        <f>K94/$K$95</f>
        <v>0.13333333333333333</v>
      </c>
      <c r="N94" s="449"/>
    </row>
    <row r="95" spans="2:14">
      <c r="B95" s="10"/>
      <c r="C95" s="174" t="s">
        <v>333</v>
      </c>
      <c r="D95" s="145"/>
      <c r="E95" s="145"/>
      <c r="F95" s="145"/>
      <c r="G95" s="450">
        <f>SUM(G90:H94)</f>
        <v>1228345200.8555007</v>
      </c>
      <c r="H95" s="451"/>
      <c r="I95" s="442">
        <f>SUM(I90:J94)</f>
        <v>0.99999999999999989</v>
      </c>
      <c r="J95" s="443"/>
      <c r="K95" s="409">
        <f>SUM(K90:L94)</f>
        <v>210</v>
      </c>
      <c r="L95" s="410"/>
      <c r="M95" s="452">
        <f>SUM(M90:N94)</f>
        <v>1</v>
      </c>
      <c r="N95" s="453"/>
    </row>
    <row r="96" spans="2:14">
      <c r="B96" s="10"/>
      <c r="C96" s="5"/>
      <c r="D96" s="5"/>
      <c r="E96" s="5"/>
      <c r="F96" s="5"/>
      <c r="G96" s="5"/>
      <c r="H96" s="5"/>
      <c r="I96" s="5"/>
      <c r="J96" s="5"/>
      <c r="K96" s="5"/>
      <c r="L96" s="5"/>
      <c r="M96" s="5"/>
      <c r="N96" s="5"/>
    </row>
    <row r="97" spans="2:14">
      <c r="B97" s="10"/>
      <c r="C97" s="174" t="s">
        <v>340</v>
      </c>
      <c r="D97" s="145"/>
      <c r="E97" s="145"/>
      <c r="F97" s="145"/>
      <c r="G97" s="430" t="s">
        <v>324</v>
      </c>
      <c r="H97" s="431"/>
      <c r="I97" s="206" t="s">
        <v>325</v>
      </c>
      <c r="J97" s="230"/>
      <c r="K97" s="430" t="s">
        <v>326</v>
      </c>
      <c r="L97" s="431"/>
      <c r="M97" s="445" t="s">
        <v>327</v>
      </c>
      <c r="N97" s="431"/>
    </row>
    <row r="98" spans="2:14">
      <c r="B98" s="10"/>
      <c r="C98" s="195">
        <v>2007</v>
      </c>
      <c r="D98" s="165"/>
      <c r="E98" s="165"/>
      <c r="F98" s="165"/>
      <c r="G98" s="434">
        <v>0</v>
      </c>
      <c r="H98" s="435"/>
      <c r="I98" s="438">
        <f>G98/$G$118</f>
        <v>0</v>
      </c>
      <c r="J98" s="438"/>
      <c r="K98" s="434">
        <v>0</v>
      </c>
      <c r="L98" s="435"/>
      <c r="M98" s="446">
        <f t="shared" ref="M98:M117" si="1">K98/$K$118</f>
        <v>0</v>
      </c>
      <c r="N98" s="447"/>
    </row>
    <row r="99" spans="2:14">
      <c r="B99" s="10"/>
      <c r="C99" s="195">
        <v>2008</v>
      </c>
      <c r="D99" s="165"/>
      <c r="E99" s="165"/>
      <c r="F99" s="165"/>
      <c r="G99" s="420">
        <v>0</v>
      </c>
      <c r="H99" s="421"/>
      <c r="I99" s="438">
        <f>G99/$G$118</f>
        <v>0</v>
      </c>
      <c r="J99" s="438"/>
      <c r="K99" s="420">
        <v>0</v>
      </c>
      <c r="L99" s="421"/>
      <c r="M99" s="438">
        <f t="shared" si="1"/>
        <v>0</v>
      </c>
      <c r="N99" s="439"/>
    </row>
    <row r="100" spans="2:14">
      <c r="B100" s="10"/>
      <c r="C100" s="195">
        <v>2009</v>
      </c>
      <c r="D100" s="165"/>
      <c r="E100" s="165"/>
      <c r="F100" s="165"/>
      <c r="G100" s="420">
        <v>0</v>
      </c>
      <c r="H100" s="421"/>
      <c r="I100" s="438">
        <f t="shared" ref="I100:I116" si="2">G100/$G$118</f>
        <v>0</v>
      </c>
      <c r="J100" s="438"/>
      <c r="K100" s="420">
        <v>0</v>
      </c>
      <c r="L100" s="421"/>
      <c r="M100" s="438">
        <f t="shared" si="1"/>
        <v>0</v>
      </c>
      <c r="N100" s="439"/>
    </row>
    <row r="101" spans="2:14">
      <c r="B101" s="10"/>
      <c r="C101" s="195">
        <v>2010</v>
      </c>
      <c r="D101" s="165"/>
      <c r="E101" s="165"/>
      <c r="F101" s="165"/>
      <c r="G101" s="420">
        <v>0</v>
      </c>
      <c r="H101" s="421"/>
      <c r="I101" s="438">
        <f t="shared" si="2"/>
        <v>0</v>
      </c>
      <c r="J101" s="438"/>
      <c r="K101" s="420">
        <v>0</v>
      </c>
      <c r="L101" s="421"/>
      <c r="M101" s="438">
        <f>K101/$K$118</f>
        <v>0</v>
      </c>
      <c r="N101" s="439"/>
    </row>
    <row r="102" spans="2:14">
      <c r="B102" s="10"/>
      <c r="C102" s="195">
        <v>2011</v>
      </c>
      <c r="D102" s="165"/>
      <c r="E102" s="165"/>
      <c r="F102" s="165"/>
      <c r="G102" s="420">
        <v>50978.079999999994</v>
      </c>
      <c r="H102" s="421"/>
      <c r="I102" s="438">
        <f t="shared" si="2"/>
        <v>4.1501428071274684E-5</v>
      </c>
      <c r="J102" s="438"/>
      <c r="K102" s="420">
        <v>2</v>
      </c>
      <c r="L102" s="421"/>
      <c r="M102" s="438">
        <f t="shared" si="1"/>
        <v>9.5238095238095247E-3</v>
      </c>
      <c r="N102" s="439"/>
    </row>
    <row r="103" spans="2:14">
      <c r="B103" s="10"/>
      <c r="C103" s="195">
        <v>2012</v>
      </c>
      <c r="D103" s="165"/>
      <c r="E103" s="165"/>
      <c r="F103" s="165"/>
      <c r="G103" s="420">
        <v>2605819.6800000002</v>
      </c>
      <c r="H103" s="421"/>
      <c r="I103" s="438">
        <f t="shared" si="2"/>
        <v>2.1214066519616281E-3</v>
      </c>
      <c r="J103" s="438"/>
      <c r="K103" s="420">
        <v>3</v>
      </c>
      <c r="L103" s="421"/>
      <c r="M103" s="438">
        <f t="shared" si="1"/>
        <v>1.4285714285714285E-2</v>
      </c>
      <c r="N103" s="439"/>
    </row>
    <row r="104" spans="2:14">
      <c r="B104" s="10"/>
      <c r="C104" s="195">
        <v>2013</v>
      </c>
      <c r="D104" s="165"/>
      <c r="E104" s="165"/>
      <c r="F104" s="165"/>
      <c r="G104" s="420">
        <v>0</v>
      </c>
      <c r="H104" s="421"/>
      <c r="I104" s="438">
        <f t="shared" si="2"/>
        <v>0</v>
      </c>
      <c r="J104" s="438"/>
      <c r="K104" s="420">
        <v>0</v>
      </c>
      <c r="L104" s="421"/>
      <c r="M104" s="438">
        <f t="shared" si="1"/>
        <v>0</v>
      </c>
      <c r="N104" s="439"/>
    </row>
    <row r="105" spans="2:14">
      <c r="B105" s="10"/>
      <c r="C105" s="195">
        <v>2014</v>
      </c>
      <c r="D105" s="165"/>
      <c r="E105" s="165"/>
      <c r="F105" s="165"/>
      <c r="G105" s="420">
        <v>364589.68</v>
      </c>
      <c r="H105" s="421"/>
      <c r="I105" s="438">
        <f t="shared" si="2"/>
        <v>2.9681369678985665E-4</v>
      </c>
      <c r="J105" s="438"/>
      <c r="K105" s="420">
        <v>1</v>
      </c>
      <c r="L105" s="421"/>
      <c r="M105" s="438">
        <f t="shared" si="1"/>
        <v>4.7619047619047623E-3</v>
      </c>
      <c r="N105" s="439"/>
    </row>
    <row r="106" spans="2:14">
      <c r="B106" s="10"/>
      <c r="C106" s="195">
        <v>2015</v>
      </c>
      <c r="D106" s="165"/>
      <c r="E106" s="165"/>
      <c r="F106" s="165"/>
      <c r="G106" s="420">
        <v>0</v>
      </c>
      <c r="H106" s="421"/>
      <c r="I106" s="419">
        <f t="shared" si="2"/>
        <v>0</v>
      </c>
      <c r="J106" s="419"/>
      <c r="K106" s="420">
        <v>0</v>
      </c>
      <c r="L106" s="421"/>
      <c r="M106" s="419">
        <f t="shared" si="1"/>
        <v>0</v>
      </c>
      <c r="N106" s="423"/>
    </row>
    <row r="107" spans="2:14">
      <c r="B107" s="10"/>
      <c r="C107" s="195">
        <v>2016</v>
      </c>
      <c r="D107" s="165"/>
      <c r="E107" s="165"/>
      <c r="F107" s="165"/>
      <c r="G107" s="420">
        <v>30789685.119999997</v>
      </c>
      <c r="H107" s="421"/>
      <c r="I107" s="419">
        <f t="shared" si="2"/>
        <v>2.5065987231078071E-2</v>
      </c>
      <c r="J107" s="419"/>
      <c r="K107" s="420">
        <v>9</v>
      </c>
      <c r="L107" s="421"/>
      <c r="M107" s="419">
        <f t="shared" si="1"/>
        <v>4.2857142857142858E-2</v>
      </c>
      <c r="N107" s="423"/>
    </row>
    <row r="108" spans="2:14">
      <c r="B108" s="10"/>
      <c r="C108" s="195">
        <v>2017</v>
      </c>
      <c r="D108" s="165"/>
      <c r="E108" s="165"/>
      <c r="F108" s="165"/>
      <c r="G108" s="420">
        <v>37779015.689999998</v>
      </c>
      <c r="H108" s="421"/>
      <c r="I108" s="419">
        <f t="shared" si="2"/>
        <v>3.0756024986858914E-2</v>
      </c>
      <c r="J108" s="419"/>
      <c r="K108" s="420">
        <v>7</v>
      </c>
      <c r="L108" s="421"/>
      <c r="M108" s="419">
        <f t="shared" si="1"/>
        <v>3.3333333333333333E-2</v>
      </c>
      <c r="N108" s="423"/>
    </row>
    <row r="109" spans="2:14">
      <c r="B109" s="10"/>
      <c r="C109" s="195">
        <v>2018</v>
      </c>
      <c r="D109" s="165"/>
      <c r="E109" s="165"/>
      <c r="F109" s="165"/>
      <c r="G109" s="420">
        <v>70922943.74000001</v>
      </c>
      <c r="H109" s="421"/>
      <c r="I109" s="419">
        <f t="shared" si="2"/>
        <v>5.7738609383261821E-2</v>
      </c>
      <c r="J109" s="419"/>
      <c r="K109" s="420">
        <v>13</v>
      </c>
      <c r="L109" s="421"/>
      <c r="M109" s="419">
        <f>K109/$K$118</f>
        <v>6.1904761904761907E-2</v>
      </c>
      <c r="N109" s="423"/>
    </row>
    <row r="110" spans="2:14">
      <c r="B110" s="10"/>
      <c r="C110" s="195">
        <v>2019</v>
      </c>
      <c r="D110" s="165"/>
      <c r="E110" s="165"/>
      <c r="F110" s="165"/>
      <c r="G110" s="420">
        <v>167577425.81</v>
      </c>
      <c r="H110" s="421"/>
      <c r="I110" s="419">
        <f t="shared" si="2"/>
        <v>0.13642535151624161</v>
      </c>
      <c r="J110" s="419"/>
      <c r="K110" s="420">
        <v>26</v>
      </c>
      <c r="L110" s="421"/>
      <c r="M110" s="419">
        <f t="shared" si="1"/>
        <v>0.12380952380952381</v>
      </c>
      <c r="N110" s="423"/>
    </row>
    <row r="111" spans="2:14">
      <c r="B111" s="10"/>
      <c r="C111" s="195">
        <v>2020</v>
      </c>
      <c r="D111" s="165"/>
      <c r="E111" s="165"/>
      <c r="F111" s="165"/>
      <c r="G111" s="420">
        <v>56025580.090999998</v>
      </c>
      <c r="H111" s="421"/>
      <c r="I111" s="438">
        <f t="shared" si="2"/>
        <v>4.5610615038818164E-2</v>
      </c>
      <c r="J111" s="438"/>
      <c r="K111" s="420">
        <v>17</v>
      </c>
      <c r="L111" s="421"/>
      <c r="M111" s="438">
        <f t="shared" si="1"/>
        <v>8.0952380952380956E-2</v>
      </c>
      <c r="N111" s="439"/>
    </row>
    <row r="112" spans="2:14">
      <c r="B112" s="10"/>
      <c r="C112" s="195">
        <v>2021</v>
      </c>
      <c r="D112" s="165"/>
      <c r="E112" s="165"/>
      <c r="F112" s="165"/>
      <c r="G112" s="420">
        <v>181415556.8475</v>
      </c>
      <c r="H112" s="421"/>
      <c r="I112" s="438">
        <f t="shared" si="2"/>
        <v>0.14769102099405793</v>
      </c>
      <c r="J112" s="438"/>
      <c r="K112" s="420">
        <v>21</v>
      </c>
      <c r="L112" s="421"/>
      <c r="M112" s="438">
        <f t="shared" si="1"/>
        <v>0.1</v>
      </c>
      <c r="N112" s="439"/>
    </row>
    <row r="113" spans="2:14">
      <c r="B113" s="10"/>
      <c r="C113" s="195">
        <v>2022</v>
      </c>
      <c r="D113" s="165"/>
      <c r="E113" s="165"/>
      <c r="F113" s="165"/>
      <c r="G113" s="420">
        <v>173384045.41950002</v>
      </c>
      <c r="H113" s="421"/>
      <c r="I113" s="438">
        <f t="shared" si="2"/>
        <v>0.14115254026208918</v>
      </c>
      <c r="J113" s="438"/>
      <c r="K113" s="420">
        <v>41</v>
      </c>
      <c r="L113" s="421"/>
      <c r="M113" s="438">
        <f t="shared" si="1"/>
        <v>0.19523809523809524</v>
      </c>
      <c r="N113" s="439"/>
    </row>
    <row r="114" spans="2:14">
      <c r="B114" s="10"/>
      <c r="C114" s="195">
        <v>2023</v>
      </c>
      <c r="D114" s="165"/>
      <c r="E114" s="165"/>
      <c r="F114" s="165"/>
      <c r="G114" s="420">
        <v>140263775.45749998</v>
      </c>
      <c r="H114" s="421"/>
      <c r="I114" s="438">
        <f t="shared" si="2"/>
        <v>0.11418921599548</v>
      </c>
      <c r="J114" s="438"/>
      <c r="K114" s="420">
        <v>26</v>
      </c>
      <c r="L114" s="421"/>
      <c r="M114" s="438">
        <f t="shared" si="1"/>
        <v>0.12380952380952381</v>
      </c>
      <c r="N114" s="439"/>
    </row>
    <row r="115" spans="2:14">
      <c r="B115" s="10"/>
      <c r="C115" s="195">
        <v>2024</v>
      </c>
      <c r="D115" s="165"/>
      <c r="E115" s="165"/>
      <c r="F115" s="165"/>
      <c r="G115" s="420">
        <v>89263839.349999994</v>
      </c>
      <c r="H115" s="421"/>
      <c r="I115" s="438">
        <f t="shared" si="2"/>
        <v>7.2669994792856921E-2</v>
      </c>
      <c r="J115" s="438"/>
      <c r="K115" s="420">
        <v>16</v>
      </c>
      <c r="L115" s="421"/>
      <c r="M115" s="438">
        <f t="shared" si="1"/>
        <v>7.6190476190476197E-2</v>
      </c>
      <c r="N115" s="439"/>
    </row>
    <row r="116" spans="2:14">
      <c r="B116" s="10"/>
      <c r="C116" s="195">
        <v>2025</v>
      </c>
      <c r="D116" s="165"/>
      <c r="E116" s="165"/>
      <c r="F116" s="165"/>
      <c r="G116" s="420">
        <v>272535501.48000008</v>
      </c>
      <c r="H116" s="421"/>
      <c r="I116" s="438">
        <f t="shared" si="2"/>
        <v>0.22187207740152237</v>
      </c>
      <c r="J116" s="438"/>
      <c r="K116" s="420">
        <v>27</v>
      </c>
      <c r="L116" s="421"/>
      <c r="M116" s="438">
        <f t="shared" si="1"/>
        <v>0.12857142857142856</v>
      </c>
      <c r="N116" s="439"/>
    </row>
    <row r="117" spans="2:14">
      <c r="B117" s="10"/>
      <c r="C117" s="195">
        <v>2026</v>
      </c>
      <c r="D117" s="165"/>
      <c r="E117" s="165"/>
      <c r="F117" s="165"/>
      <c r="G117" s="426">
        <v>5366444.41</v>
      </c>
      <c r="H117" s="427"/>
      <c r="I117" s="438">
        <f>G117/$G$118</f>
        <v>4.3688406209121478E-3</v>
      </c>
      <c r="J117" s="438"/>
      <c r="K117" s="426">
        <v>1</v>
      </c>
      <c r="L117" s="427"/>
      <c r="M117" s="438">
        <f t="shared" si="1"/>
        <v>4.7619047619047623E-3</v>
      </c>
      <c r="N117" s="439"/>
    </row>
    <row r="118" spans="2:14">
      <c r="B118" s="10"/>
      <c r="C118" s="174" t="s">
        <v>333</v>
      </c>
      <c r="D118" s="145"/>
      <c r="E118" s="145"/>
      <c r="F118" s="145"/>
      <c r="G118" s="440">
        <f>SUM(G98:H117)</f>
        <v>1228345200.8555002</v>
      </c>
      <c r="H118" s="441"/>
      <c r="I118" s="442">
        <f>SUM(I98:J117)</f>
        <v>0.99999999999999989</v>
      </c>
      <c r="J118" s="443"/>
      <c r="K118" s="409">
        <f>SUM(K98:L117)</f>
        <v>210</v>
      </c>
      <c r="L118" s="410"/>
      <c r="M118" s="442">
        <f>SUM(M98:N117)</f>
        <v>1</v>
      </c>
      <c r="N118" s="444"/>
    </row>
    <row r="119" spans="2:14">
      <c r="B119" s="10"/>
      <c r="C119" s="5"/>
      <c r="D119" s="5"/>
      <c r="E119" s="5"/>
      <c r="F119" s="5"/>
      <c r="G119" s="5"/>
      <c r="H119" s="5"/>
      <c r="I119" s="5"/>
      <c r="J119" s="5"/>
      <c r="K119" s="5"/>
      <c r="L119" s="5"/>
      <c r="M119" s="5"/>
      <c r="N119" s="5"/>
    </row>
    <row r="120" spans="2:14">
      <c r="B120" s="10"/>
      <c r="C120" s="174" t="s">
        <v>341</v>
      </c>
      <c r="D120" s="145"/>
      <c r="E120" s="145"/>
      <c r="F120" s="145"/>
      <c r="G120" s="430" t="s">
        <v>324</v>
      </c>
      <c r="H120" s="431"/>
      <c r="I120" s="229" t="s">
        <v>325</v>
      </c>
      <c r="J120" s="230"/>
      <c r="K120" s="430" t="s">
        <v>326</v>
      </c>
      <c r="L120" s="431"/>
      <c r="M120" s="206" t="s">
        <v>327</v>
      </c>
      <c r="N120" s="230"/>
    </row>
    <row r="121" spans="2:14">
      <c r="B121" s="10"/>
      <c r="C121" s="195" t="s">
        <v>342</v>
      </c>
      <c r="D121" s="165"/>
      <c r="E121" s="165"/>
      <c r="F121" s="165"/>
      <c r="G121" s="432">
        <v>350850231.61000001</v>
      </c>
      <c r="H121" s="433"/>
      <c r="I121" s="419">
        <f>G121/$G$126</f>
        <v>0.28562836519053825</v>
      </c>
      <c r="J121" s="419"/>
      <c r="K121" s="434">
        <v>30</v>
      </c>
      <c r="L121" s="435"/>
      <c r="M121" s="436">
        <f>K121/$K$126</f>
        <v>0.14285714285714285</v>
      </c>
      <c r="N121" s="437"/>
    </row>
    <row r="122" spans="2:14">
      <c r="B122" s="10"/>
      <c r="C122" s="195" t="s">
        <v>343</v>
      </c>
      <c r="D122" s="165"/>
      <c r="E122" s="165"/>
      <c r="F122" s="165"/>
      <c r="G122" s="417">
        <v>627853675.91099989</v>
      </c>
      <c r="H122" s="418"/>
      <c r="I122" s="419">
        <f>G122/$G$126</f>
        <v>0.51113781001767344</v>
      </c>
      <c r="J122" s="419"/>
      <c r="K122" s="420">
        <v>131</v>
      </c>
      <c r="L122" s="421"/>
      <c r="M122" s="422">
        <f>K122/$K$126</f>
        <v>0.62380952380952381</v>
      </c>
      <c r="N122" s="423"/>
    </row>
    <row r="123" spans="2:14">
      <c r="B123" s="10"/>
      <c r="C123" s="195" t="s">
        <v>344</v>
      </c>
      <c r="D123" s="165"/>
      <c r="E123" s="165"/>
      <c r="F123" s="165"/>
      <c r="G123" s="417">
        <v>246647231.50450087</v>
      </c>
      <c r="H123" s="418"/>
      <c r="I123" s="419">
        <f>G123/$G$126</f>
        <v>0.20079634888687597</v>
      </c>
      <c r="J123" s="419"/>
      <c r="K123" s="420">
        <v>46</v>
      </c>
      <c r="L123" s="421"/>
      <c r="M123" s="422">
        <f>K123/$K$126</f>
        <v>0.21904761904761905</v>
      </c>
      <c r="N123" s="423"/>
    </row>
    <row r="124" spans="2:14">
      <c r="B124" s="10"/>
      <c r="C124" s="195" t="s">
        <v>345</v>
      </c>
      <c r="D124" s="165"/>
      <c r="E124" s="165"/>
      <c r="F124" s="165"/>
      <c r="G124" s="417">
        <v>2994061.8299999237</v>
      </c>
      <c r="H124" s="418"/>
      <c r="I124" s="419">
        <f>G124/$G$126</f>
        <v>2.4374759049122846E-3</v>
      </c>
      <c r="J124" s="419"/>
      <c r="K124" s="420">
        <v>3</v>
      </c>
      <c r="L124" s="421"/>
      <c r="M124" s="422">
        <f>K124/$K$126</f>
        <v>1.4285714285714285E-2</v>
      </c>
      <c r="N124" s="423"/>
    </row>
    <row r="125" spans="2:14">
      <c r="B125" s="10"/>
      <c r="C125" s="195" t="s">
        <v>346</v>
      </c>
      <c r="D125" s="165"/>
      <c r="E125" s="165"/>
      <c r="F125" s="165"/>
      <c r="G125" s="424">
        <v>0</v>
      </c>
      <c r="H125" s="425"/>
      <c r="I125" s="419">
        <f>G125/$G$126</f>
        <v>0</v>
      </c>
      <c r="J125" s="419"/>
      <c r="K125" s="426">
        <v>0</v>
      </c>
      <c r="L125" s="427"/>
      <c r="M125" s="428">
        <f>K125/$K$126</f>
        <v>0</v>
      </c>
      <c r="N125" s="429"/>
    </row>
    <row r="126" spans="2:14">
      <c r="B126" s="10"/>
      <c r="C126" s="174" t="s">
        <v>333</v>
      </c>
      <c r="D126" s="145"/>
      <c r="E126" s="145"/>
      <c r="F126" s="145"/>
      <c r="G126" s="409">
        <f>SUM(G121:H125)</f>
        <v>1228345200.8555007</v>
      </c>
      <c r="H126" s="410"/>
      <c r="I126" s="411">
        <f>SUM(I121:J125)</f>
        <v>0.99999999999999989</v>
      </c>
      <c r="J126" s="412"/>
      <c r="K126" s="413">
        <f>SUM(K121:L125)</f>
        <v>210</v>
      </c>
      <c r="L126" s="414"/>
      <c r="M126" s="415">
        <f>SUM(M121:N125)</f>
        <v>0.99999999999999989</v>
      </c>
      <c r="N126" s="416"/>
    </row>
    <row r="127" spans="2:14" ht="15" thickBot="1">
      <c r="B127" s="153"/>
      <c r="C127" s="57"/>
      <c r="D127" s="57"/>
      <c r="E127" s="57"/>
      <c r="F127" s="57"/>
      <c r="G127" s="57"/>
      <c r="H127" s="57"/>
      <c r="I127" s="57"/>
      <c r="J127" s="57"/>
      <c r="K127" s="57"/>
      <c r="L127" s="57"/>
      <c r="M127" s="57"/>
      <c r="N127" s="57"/>
    </row>
  </sheetData>
  <mergeCells count="278">
    <mergeCell ref="C3:N4"/>
    <mergeCell ref="C6:N6"/>
    <mergeCell ref="J8:N8"/>
    <mergeCell ref="J9:N9"/>
    <mergeCell ref="C10:E11"/>
    <mergeCell ref="J10:N10"/>
    <mergeCell ref="J11:N11"/>
    <mergeCell ref="C17:E18"/>
    <mergeCell ref="J17:N17"/>
    <mergeCell ref="J18:N18"/>
    <mergeCell ref="J19:N19"/>
    <mergeCell ref="J20:N20"/>
    <mergeCell ref="C22:N22"/>
    <mergeCell ref="J12:N12"/>
    <mergeCell ref="C13:E14"/>
    <mergeCell ref="J13:N13"/>
    <mergeCell ref="J14:N14"/>
    <mergeCell ref="J15:N15"/>
    <mergeCell ref="J16:N16"/>
    <mergeCell ref="J29:N29"/>
    <mergeCell ref="J30:M30"/>
    <mergeCell ref="J31:M31"/>
    <mergeCell ref="C32:N32"/>
    <mergeCell ref="J33:N33"/>
    <mergeCell ref="J34:M34"/>
    <mergeCell ref="C23:N23"/>
    <mergeCell ref="J24:N24"/>
    <mergeCell ref="C25:N25"/>
    <mergeCell ref="J26:N26"/>
    <mergeCell ref="J27:M27"/>
    <mergeCell ref="J28:M28"/>
    <mergeCell ref="J41:M41"/>
    <mergeCell ref="J42:N42"/>
    <mergeCell ref="J43:N43"/>
    <mergeCell ref="J44:N44"/>
    <mergeCell ref="J45:N45"/>
    <mergeCell ref="J46:M46"/>
    <mergeCell ref="J35:M35"/>
    <mergeCell ref="J36:M36"/>
    <mergeCell ref="C37:N37"/>
    <mergeCell ref="J38:N38"/>
    <mergeCell ref="J39:M39"/>
    <mergeCell ref="J40:M40"/>
    <mergeCell ref="C54:N54"/>
    <mergeCell ref="I55:K55"/>
    <mergeCell ref="L55:N55"/>
    <mergeCell ref="I56:K56"/>
    <mergeCell ref="L56:N56"/>
    <mergeCell ref="I57:K57"/>
    <mergeCell ref="L57:N57"/>
    <mergeCell ref="J47:N47"/>
    <mergeCell ref="J48:M48"/>
    <mergeCell ref="J49:M49"/>
    <mergeCell ref="J50:M50"/>
    <mergeCell ref="C51:N51"/>
    <mergeCell ref="J52:N52"/>
    <mergeCell ref="I61:K61"/>
    <mergeCell ref="L61:N61"/>
    <mergeCell ref="I62:J62"/>
    <mergeCell ref="L62:M62"/>
    <mergeCell ref="I63:J63"/>
    <mergeCell ref="L63:M63"/>
    <mergeCell ref="I58:J58"/>
    <mergeCell ref="L58:M58"/>
    <mergeCell ref="I59:J59"/>
    <mergeCell ref="L59:M59"/>
    <mergeCell ref="I60:J60"/>
    <mergeCell ref="L60:M60"/>
    <mergeCell ref="C68:N68"/>
    <mergeCell ref="F69:H69"/>
    <mergeCell ref="I69:K69"/>
    <mergeCell ref="L69:N69"/>
    <mergeCell ref="F70:H70"/>
    <mergeCell ref="I70:K70"/>
    <mergeCell ref="L70:N70"/>
    <mergeCell ref="I64:J64"/>
    <mergeCell ref="L64:M64"/>
    <mergeCell ref="I65:J65"/>
    <mergeCell ref="L65:M65"/>
    <mergeCell ref="I66:K66"/>
    <mergeCell ref="L66:N66"/>
    <mergeCell ref="F73:H73"/>
    <mergeCell ref="I73:K73"/>
    <mergeCell ref="L73:N73"/>
    <mergeCell ref="F74:H74"/>
    <mergeCell ref="I74:K74"/>
    <mergeCell ref="L74:N74"/>
    <mergeCell ref="F71:H71"/>
    <mergeCell ref="I71:K71"/>
    <mergeCell ref="L71:N71"/>
    <mergeCell ref="F72:H72"/>
    <mergeCell ref="I72:K72"/>
    <mergeCell ref="L72:N72"/>
    <mergeCell ref="F77:H77"/>
    <mergeCell ref="I77:K77"/>
    <mergeCell ref="L77:N77"/>
    <mergeCell ref="F78:H78"/>
    <mergeCell ref="I78:K78"/>
    <mergeCell ref="L78:N78"/>
    <mergeCell ref="F75:H75"/>
    <mergeCell ref="I75:K75"/>
    <mergeCell ref="L75:N75"/>
    <mergeCell ref="F76:H76"/>
    <mergeCell ref="I76:K76"/>
    <mergeCell ref="L76:N76"/>
    <mergeCell ref="G83:H83"/>
    <mergeCell ref="I83:J83"/>
    <mergeCell ref="K83:L83"/>
    <mergeCell ref="M83:N83"/>
    <mergeCell ref="G84:H84"/>
    <mergeCell ref="I84:J84"/>
    <mergeCell ref="K84:L84"/>
    <mergeCell ref="M84:N84"/>
    <mergeCell ref="C80:N80"/>
    <mergeCell ref="G81:H81"/>
    <mergeCell ref="I81:J81"/>
    <mergeCell ref="K81:L81"/>
    <mergeCell ref="M81:N81"/>
    <mergeCell ref="G82:H82"/>
    <mergeCell ref="I82:J82"/>
    <mergeCell ref="K82:L82"/>
    <mergeCell ref="M82:N82"/>
    <mergeCell ref="G87:H87"/>
    <mergeCell ref="I87:J87"/>
    <mergeCell ref="K87:L87"/>
    <mergeCell ref="M87:N87"/>
    <mergeCell ref="G89:H89"/>
    <mergeCell ref="I89:J89"/>
    <mergeCell ref="K89:L89"/>
    <mergeCell ref="M89:N89"/>
    <mergeCell ref="G85:H85"/>
    <mergeCell ref="I85:J85"/>
    <mergeCell ref="K85:L85"/>
    <mergeCell ref="M85:N85"/>
    <mergeCell ref="G86:H86"/>
    <mergeCell ref="I86:J86"/>
    <mergeCell ref="K86:L86"/>
    <mergeCell ref="M86:N86"/>
    <mergeCell ref="G92:H92"/>
    <mergeCell ref="I92:J92"/>
    <mergeCell ref="K92:L92"/>
    <mergeCell ref="M92:N92"/>
    <mergeCell ref="G93:H93"/>
    <mergeCell ref="I93:J93"/>
    <mergeCell ref="K93:L93"/>
    <mergeCell ref="M93:N93"/>
    <mergeCell ref="G90:H90"/>
    <mergeCell ref="I90:J90"/>
    <mergeCell ref="K90:L90"/>
    <mergeCell ref="M90:N90"/>
    <mergeCell ref="G91:H91"/>
    <mergeCell ref="I91:J91"/>
    <mergeCell ref="K91:L91"/>
    <mergeCell ref="M91:N91"/>
    <mergeCell ref="G97:H97"/>
    <mergeCell ref="I97:J97"/>
    <mergeCell ref="K97:L97"/>
    <mergeCell ref="M97:N97"/>
    <mergeCell ref="G98:H98"/>
    <mergeCell ref="I98:J98"/>
    <mergeCell ref="K98:L98"/>
    <mergeCell ref="M98:N98"/>
    <mergeCell ref="G94:H94"/>
    <mergeCell ref="I94:J94"/>
    <mergeCell ref="K94:L94"/>
    <mergeCell ref="M94:N94"/>
    <mergeCell ref="G95:H95"/>
    <mergeCell ref="I95:J95"/>
    <mergeCell ref="K95:L95"/>
    <mergeCell ref="M95:N95"/>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17:H117"/>
    <mergeCell ref="I117:J117"/>
    <mergeCell ref="K117:L117"/>
    <mergeCell ref="M117:N117"/>
    <mergeCell ref="G118:H118"/>
    <mergeCell ref="I118:J118"/>
    <mergeCell ref="K118:L118"/>
    <mergeCell ref="M118:N118"/>
    <mergeCell ref="G115:H115"/>
    <mergeCell ref="I115:J115"/>
    <mergeCell ref="K115:L115"/>
    <mergeCell ref="M115:N115"/>
    <mergeCell ref="G116:H116"/>
    <mergeCell ref="I116:J116"/>
    <mergeCell ref="K116:L116"/>
    <mergeCell ref="M116:N116"/>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 ref="G126:H126"/>
    <mergeCell ref="I126:J126"/>
    <mergeCell ref="K126:L126"/>
    <mergeCell ref="M126:N126"/>
    <mergeCell ref="G124:H124"/>
    <mergeCell ref="I124:J124"/>
    <mergeCell ref="K124:L124"/>
    <mergeCell ref="M124:N124"/>
    <mergeCell ref="G125:H125"/>
    <mergeCell ref="I125:J125"/>
    <mergeCell ref="K125:L125"/>
    <mergeCell ref="M125:N125"/>
  </mergeCells>
  <pageMargins left="0.7" right="0.7" top="0.75" bottom="0.75" header="0.3" footer="0.3"/>
  <pageSetup paperSize="9" scale="57" orientation="portrait" r:id="rId1"/>
  <rowBreaks count="1" manualBreakCount="1">
    <brk id="78"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8b6363b60981a2f39d195b351b7105e8">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e84cde6c377d7faf1a79ff6f5a8ac56"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Props1.xml><?xml version="1.0" encoding="utf-8"?>
<ds:datastoreItem xmlns:ds="http://schemas.openxmlformats.org/officeDocument/2006/customXml" ds:itemID="{2B43B4A6-D3AD-4577-92D7-8DB55273DDAC}"/>
</file>

<file path=customXml/itemProps2.xml><?xml version="1.0" encoding="utf-8"?>
<ds:datastoreItem xmlns:ds="http://schemas.openxmlformats.org/officeDocument/2006/customXml" ds:itemID="{22F73138-B77D-4BEF-AE21-6BACA7B9CF9C}"/>
</file>

<file path=customXml/itemProps3.xml><?xml version="1.0" encoding="utf-8"?>
<ds:datastoreItem xmlns:ds="http://schemas.openxmlformats.org/officeDocument/2006/customXml" ds:itemID="{5449F445-1432-41B4-A6BB-4EAB5989D4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Admin Report</vt:lpstr>
      <vt:lpstr>Servicer Report</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Louw</dc:creator>
  <cp:lastModifiedBy>Melissa Louw</cp:lastModifiedBy>
  <dcterms:created xsi:type="dcterms:W3CDTF">2026-08-17T15:16:58Z</dcterms:created>
  <dcterms:modified xsi:type="dcterms:W3CDTF">2026-08-17T15:31:39Z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0x0101006ECBF554220BF2499ADD23B390874F60</vt:lpwstr>
  </property>
</Properties>
</file>